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598" activeTab="0"/>
  </bookViews>
  <sheets>
    <sheet name="IS" sheetId="1" r:id="rId1"/>
    <sheet name="BS" sheetId="2" r:id="rId2"/>
    <sheet name="Cashflow" sheetId="3" r:id="rId3"/>
    <sheet name="Changes in Equity" sheetId="4" r:id="rId4"/>
    <sheet name="Notes MASB (a-g)" sheetId="5" r:id="rId5"/>
    <sheet name="Notes MASB (h)" sheetId="6" r:id="rId6"/>
    <sheet name="Notes MASB (i-m)" sheetId="7" r:id="rId7"/>
    <sheet name="Notes App 9B" sheetId="8" r:id="rId8"/>
    <sheet name="Plantation" sheetId="9" r:id="rId9"/>
    <sheet name="Sheet1"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Titles" localSheetId="1">'BS'!$1:$8</definedName>
    <definedName name="_xlnm.Print_Titles" localSheetId="0">'IS'!$1:$14</definedName>
    <definedName name="_xlnm.Print_Titles" localSheetId="7">'Notes App 9B'!$1:$6</definedName>
    <definedName name="_xlnm.Print_Titles" localSheetId="4">'Notes MASB (a-g)'!$1:$6</definedName>
    <definedName name="_xlnm.Print_Titles" localSheetId="5">'Notes MASB (h)'!$1:$11</definedName>
  </definedNames>
  <calcPr fullCalcOnLoad="1"/>
</workbook>
</file>

<file path=xl/comments1.xml><?xml version="1.0" encoding="utf-8"?>
<comments xmlns="http://schemas.openxmlformats.org/spreadsheetml/2006/main">
  <authors>
    <author>KSK</author>
  </authors>
  <commentList>
    <comment ref="D17" authorId="0">
      <text>
        <r>
          <rPr>
            <b/>
            <sz val="8"/>
            <rFont val="Tahoma"/>
            <family val="0"/>
          </rPr>
          <t>KSK:</t>
        </r>
        <r>
          <rPr>
            <sz val="8"/>
            <rFont val="Tahoma"/>
            <family val="0"/>
          </rPr>
          <t xml:space="preserve">
adjusted for pya </t>
        </r>
      </text>
    </comment>
    <comment ref="D22" authorId="0">
      <text>
        <r>
          <rPr>
            <b/>
            <sz val="8"/>
            <rFont val="Tahoma"/>
            <family val="0"/>
          </rPr>
          <t>KSK:</t>
        </r>
        <r>
          <rPr>
            <sz val="8"/>
            <rFont val="Tahoma"/>
            <family val="0"/>
          </rPr>
          <t xml:space="preserve">
adjusted for pya</t>
        </r>
      </text>
    </comment>
    <comment ref="G17" authorId="0">
      <text>
        <r>
          <rPr>
            <b/>
            <sz val="8"/>
            <rFont val="Tahoma"/>
            <family val="0"/>
          </rPr>
          <t>KSK:</t>
        </r>
        <r>
          <rPr>
            <sz val="8"/>
            <rFont val="Tahoma"/>
            <family val="0"/>
          </rPr>
          <t xml:space="preserve">
adjusted for pya</t>
        </r>
      </text>
    </comment>
    <comment ref="G22" authorId="0">
      <text>
        <r>
          <rPr>
            <b/>
            <sz val="8"/>
            <rFont val="Tahoma"/>
            <family val="0"/>
          </rPr>
          <t>KSK:</t>
        </r>
        <r>
          <rPr>
            <sz val="8"/>
            <rFont val="Tahoma"/>
            <family val="0"/>
          </rPr>
          <t xml:space="preserve">
adjusted for pya</t>
        </r>
      </text>
    </comment>
  </commentList>
</comments>
</file>

<file path=xl/sharedStrings.xml><?xml version="1.0" encoding="utf-8"?>
<sst xmlns="http://schemas.openxmlformats.org/spreadsheetml/2006/main" count="587" uniqueCount="386">
  <si>
    <t>an appeal against the summary judgment obtained by Unipamol;</t>
  </si>
  <si>
    <t>an application to stay the execution of the summary judgment;</t>
  </si>
  <si>
    <t>Unipamol Malaysia Sdn Bhd ("Unipamol") has obtained summary judgment against Unitangkob (Malaysia) Berhad on 27 July 2001 in the High Court of Sabah and Sarawak at Kota Kinabalu for, inter alia, recovery of the principal sum of approximately RM5 million together with interest and costs.  The defendant has since filed the following:</t>
  </si>
  <si>
    <t>Loders Croklaan Group BV (w.e.f. 1 December 2002)</t>
  </si>
  <si>
    <t>IOI Croporation NV (w.e.f. 1 December 2002)</t>
  </si>
  <si>
    <t>(Incorporated in Malaysia)</t>
  </si>
  <si>
    <t>Taxation</t>
  </si>
  <si>
    <t>RM'000</t>
  </si>
  <si>
    <t>CURRENT YEAR QUARTER</t>
  </si>
  <si>
    <t>PRECEDING YEAR CORRESPONDING QUARTER</t>
  </si>
  <si>
    <t>PRECEDING YEAR CORRESPONDING PERIOD</t>
  </si>
  <si>
    <t>Net tangible assets per share (RM)</t>
  </si>
  <si>
    <t>AS AT END OF CURRENT QUARTER</t>
  </si>
  <si>
    <t>AS AT PRECEDING FINANCIAL YEAR END</t>
  </si>
  <si>
    <t>Reserves</t>
  </si>
  <si>
    <t>1)</t>
  </si>
  <si>
    <t>Accounting Policies</t>
  </si>
  <si>
    <t>2)</t>
  </si>
  <si>
    <t>3)</t>
  </si>
  <si>
    <t>4)</t>
  </si>
  <si>
    <t>Deferred taxation</t>
  </si>
  <si>
    <t>Share of taxation of associated companies</t>
  </si>
  <si>
    <t>The tax expense comprises the following:</t>
  </si>
  <si>
    <t>5)</t>
  </si>
  <si>
    <t>6)</t>
  </si>
  <si>
    <t>7)</t>
  </si>
  <si>
    <t>Quoted Securities</t>
  </si>
  <si>
    <t>a)</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</si>
  <si>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</si>
  <si>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</si>
  <si>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</si>
  <si>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</si>
  <si>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</si>
  <si>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</si>
  <si>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</si>
  <si>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</si>
  <si>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</si>
  <si>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</si>
  <si>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</si>
  <si>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</si>
  <si>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</si>
  <si>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</si>
  <si>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Contingent Liabilities</t>
  </si>
  <si>
    <t>Off Balance Sheet Financial Instruments</t>
  </si>
  <si>
    <t>Material Litigation</t>
  </si>
  <si>
    <t>Plantation</t>
  </si>
  <si>
    <t>Not Applicable</t>
  </si>
  <si>
    <t>Current Year Prospects</t>
  </si>
  <si>
    <t>Variance of Actual Profit from Forecast Profit</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</si>
  <si>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</si>
  <si>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</si>
  <si>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</si>
  <si>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</si>
  <si>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</si>
  <si>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</si>
  <si>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</si>
  <si>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</si>
  <si>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</si>
  <si>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</si>
  <si>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</si>
  <si>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</si>
  <si>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Average Mature Area Harvested/Tapped</t>
  </si>
  <si>
    <t>Oil Palm</t>
  </si>
  <si>
    <t>Production</t>
  </si>
  <si>
    <t>FFB production</t>
  </si>
  <si>
    <t>(tonnes)</t>
  </si>
  <si>
    <t>Yield per mature hectare</t>
  </si>
  <si>
    <t>FFB processed</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</si>
  <si>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</si>
  <si>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</si>
  <si>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</si>
  <si>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</si>
  <si>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</si>
  <si>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</si>
  <si>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</si>
  <si>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</si>
  <si>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</si>
  <si>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</si>
  <si>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</si>
  <si>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</si>
  <si>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</si>
  <si>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</si>
  <si>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</si>
  <si>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</si>
  <si>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</si>
  <si>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</si>
  <si>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</si>
  <si>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Review of the Performance of the Company and Its Principal Subsidiaries</t>
  </si>
  <si>
    <t>Denominated in RM</t>
  </si>
  <si>
    <t>Denominated in SGD (SGD20,000,000)</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</si>
  <si>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</si>
  <si>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</si>
  <si>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</si>
  <si>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</si>
  <si>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</si>
  <si>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</si>
  <si>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</si>
  <si>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</si>
  <si>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i)</t>
  </si>
  <si>
    <t>ii)</t>
  </si>
  <si>
    <t xml:space="preserve">Purchases and disposals of quoted securities </t>
  </si>
  <si>
    <t>Investment properties</t>
  </si>
  <si>
    <t>Land held for development</t>
  </si>
  <si>
    <t>Current assets</t>
  </si>
  <si>
    <t>Development properties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</si>
  <si>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</si>
  <si>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</si>
  <si>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</si>
  <si>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</si>
  <si>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</si>
  <si>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</si>
  <si>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</si>
  <si>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</si>
  <si>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</si>
  <si>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</si>
  <si>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</si>
  <si>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</si>
  <si>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</si>
  <si>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</si>
  <si>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</si>
  <si>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</si>
  <si>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Other long term investments</t>
  </si>
  <si>
    <t>Retained profits</t>
  </si>
  <si>
    <t>Current taxation</t>
  </si>
  <si>
    <t>Foreign exchange fluctuation reserve</t>
  </si>
  <si>
    <t>(The figures have not been audited)</t>
  </si>
  <si>
    <t>A minority shareholder of Palmco Holdings Berhad ("the Applicant") has on 26 July 2000 obtained an Ex-parte Order For Leave to apply for an Order of Mandamus against the Securities Commission to compel the Securities Commission to direct the Company to make a Mandatory General Offer on the remaining shares of Palmco Holdings Berhad not owned by the Company.</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</si>
  <si>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</si>
  <si>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</si>
  <si>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</si>
  <si>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</si>
  <si>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</si>
  <si>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</si>
  <si>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</si>
  <si>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</si>
  <si>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Finance cost</t>
  </si>
  <si>
    <t>Minority interest</t>
  </si>
  <si>
    <t>(Other than Securities in Existing Subsidiaries and Associated Companies)</t>
  </si>
  <si>
    <t>Property, plant &amp; equipment</t>
  </si>
  <si>
    <t>Short term investments</t>
  </si>
  <si>
    <t>Inventories</t>
  </si>
  <si>
    <t>Shareholders' equity</t>
  </si>
  <si>
    <t>Associated companies</t>
  </si>
  <si>
    <t>Material Events Subsequent to the End of Financial Period</t>
  </si>
  <si>
    <t>Total purchase consideration</t>
  </si>
  <si>
    <t>Total sale proceeds</t>
  </si>
  <si>
    <t>As Restated</t>
  </si>
  <si>
    <t>Effect of Change in Policy</t>
  </si>
  <si>
    <t>As Previously Reported</t>
  </si>
  <si>
    <t>-</t>
  </si>
  <si>
    <t>Details of Changes in Debt and Equity Securities</t>
  </si>
  <si>
    <t>Allowance for diminution in value</t>
  </si>
  <si>
    <t>Total gain on disposal</t>
  </si>
  <si>
    <t>Quoted in Malaysia</t>
  </si>
  <si>
    <t>Quoted outside Malaysia *</t>
  </si>
  <si>
    <t>Total loss on disposal</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</si>
  <si>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case was part heard and fixed for continued hearing.  The Applicant has disposed all his shares and warrants in Palmco save and except for 8,000 ordinary shares and the Company has since successfully completed a Mandatory General Offer on Palmco Holdings Berhad.</t>
  </si>
  <si>
    <t>CURRENT QUARTER</t>
  </si>
  <si>
    <t>PRECEDING QUARTER</t>
  </si>
  <si>
    <t>Profit before taxation</t>
  </si>
  <si>
    <t>INCREASE/ (DECREASE)</t>
  </si>
  <si>
    <t>The analysis of contribution by segment is as follows:</t>
  </si>
  <si>
    <t xml:space="preserve">Basic </t>
  </si>
  <si>
    <t>*</t>
  </si>
  <si>
    <t>Held at Palmco level</t>
  </si>
  <si>
    <t>Short term funds</t>
  </si>
  <si>
    <t>CONDENSED CONSOLIDATED INCOME STATEMENTS</t>
  </si>
  <si>
    <t>Profit before tax</t>
  </si>
  <si>
    <t>Interest income</t>
  </si>
  <si>
    <t>Profit after tax</t>
  </si>
  <si>
    <t>Net profit for the period</t>
  </si>
  <si>
    <t>Diluted</t>
  </si>
  <si>
    <t>Earnings per share (sen)</t>
  </si>
  <si>
    <t>CONDENSED CONSOLIDATED BALANCE SHEETS</t>
  </si>
  <si>
    <t>Operating profit before working capital changes</t>
  </si>
  <si>
    <t>Cash generated from operations</t>
  </si>
  <si>
    <t>Net increase in cash and cash equivalents</t>
  </si>
  <si>
    <t>Cash and cash equivalents at beginning of period</t>
  </si>
  <si>
    <t>Cash and cash equivalents at end of period</t>
  </si>
  <si>
    <t>CONDENSED CONSOLIDATED CASH FLOW STATEMENT</t>
  </si>
  <si>
    <t>Other receipts</t>
  </si>
  <si>
    <t>Equity investments</t>
  </si>
  <si>
    <t>Other investments</t>
  </si>
  <si>
    <t>Bank borrowings</t>
  </si>
  <si>
    <t>Investing Activities</t>
  </si>
  <si>
    <t>Financing Activities</t>
  </si>
  <si>
    <t>Note:</t>
  </si>
  <si>
    <t>Reserve on consolidation</t>
  </si>
  <si>
    <t>Total</t>
  </si>
  <si>
    <t>CONDENSED CONSOLIDATED STATEMENT OF CHANGES IN EQUITY</t>
  </si>
  <si>
    <t>(RM'000)</t>
  </si>
  <si>
    <t>Audit Qualification</t>
  </si>
  <si>
    <t>d)</t>
  </si>
  <si>
    <t>Unusual Items</t>
  </si>
  <si>
    <t>e)</t>
  </si>
  <si>
    <t>f)</t>
  </si>
  <si>
    <t>g)</t>
  </si>
  <si>
    <t>h)</t>
  </si>
  <si>
    <t>Segment Revenue &amp; Results</t>
  </si>
  <si>
    <t>Dividends Paid</t>
  </si>
  <si>
    <t>Valuations of Property, Plant &amp; Equipment</t>
  </si>
  <si>
    <t>Valuations of investment properties have been brought forward, without amendments from the previous annual financial statements.</t>
  </si>
  <si>
    <t>l)</t>
  </si>
  <si>
    <t>j)</t>
  </si>
  <si>
    <t>k)</t>
  </si>
  <si>
    <t>13)</t>
  </si>
  <si>
    <t>Weighted average number of ordinary shares in issue</t>
  </si>
  <si>
    <t>Basic earnings per share (sen)</t>
  </si>
  <si>
    <t>Assumed exercise of Warrants 1995/2003 at beginning of period</t>
  </si>
  <si>
    <t>Deferred tax assets</t>
  </si>
  <si>
    <t>Operating profit</t>
  </si>
  <si>
    <t>Share of profits of associated companies</t>
  </si>
  <si>
    <t>Operating Activities</t>
  </si>
  <si>
    <t>Taxes paid</t>
  </si>
  <si>
    <t>Issue of shares</t>
  </si>
  <si>
    <t>Repurchase of shares</t>
  </si>
  <si>
    <t>Net gain not recognised in income statement</t>
  </si>
  <si>
    <t>Prior year adjustments</t>
  </si>
  <si>
    <t>Amortisation for the period</t>
  </si>
  <si>
    <t>Retrospective application</t>
  </si>
  <si>
    <t>-  MASB 22 “Segmental Reporting”</t>
  </si>
  <si>
    <t>Prospective application</t>
  </si>
  <si>
    <t>-  MASB 23 “Impairment of Assets”</t>
  </si>
  <si>
    <t>The audit report of the Group's preceding year financial statements was not qualified.</t>
  </si>
  <si>
    <t>EXPLANATORY NOTES</t>
  </si>
  <si>
    <t>Other operations</t>
  </si>
  <si>
    <t>Unallocated corporate expenses</t>
  </si>
  <si>
    <t>Material Change in Profit Before Taxation for the Current Quarter as Compared with the Immediate Preceding Quarter</t>
  </si>
  <si>
    <t>ADDITIONAL INFORMATIONS AS REQUIRED BY APPENDIX 9B OF KLSE LISTING REQUIREMENTS</t>
  </si>
  <si>
    <t>Description</t>
  </si>
  <si>
    <t>Maturity Period</t>
  </si>
  <si>
    <t>REVENUE</t>
  </si>
  <si>
    <t>External Sales</t>
  </si>
  <si>
    <t>Inter-segment sales</t>
  </si>
  <si>
    <t>Total Revenue</t>
  </si>
  <si>
    <t>RESULT</t>
  </si>
  <si>
    <t>Segment results</t>
  </si>
  <si>
    <t>Interest expense</t>
  </si>
  <si>
    <t>Share of net profit of associated companies</t>
  </si>
  <si>
    <t>Property Development</t>
  </si>
  <si>
    <t>Property Investment</t>
  </si>
  <si>
    <t>Other Operations</t>
  </si>
  <si>
    <t>Eliminations</t>
  </si>
  <si>
    <t>Consolidated</t>
  </si>
  <si>
    <t>Profit after taxation</t>
  </si>
  <si>
    <t>External sales</t>
  </si>
  <si>
    <t>Continuing operations</t>
  </si>
  <si>
    <t>Discontinued operations</t>
  </si>
  <si>
    <t>Loss on disposal of Kanzen Tetsu Sdn Bhd</t>
  </si>
  <si>
    <t xml:space="preserve">The interim financial report is unaudited and has been prepared in accordance with MASB 26 “Interim Financial Reporting”.  The report should be read in conjunction with the audited financial statements of the Group for the financial year ended 30 June 2002.
</t>
  </si>
  <si>
    <t>A.</t>
  </si>
  <si>
    <t>Adoption of new applicable approved accounting standards</t>
  </si>
  <si>
    <t xml:space="preserve">-  MASB 25 “Income Taxes” </t>
  </si>
  <si>
    <t>The adoption of the above new MASB standards that result in changes in accounting policies and method of computation does not affect the result of the Group for the financial period or shareholders’ equity except as set out below:</t>
  </si>
  <si>
    <t xml:space="preserve">Prior to the adoption of MASB 25, deferred taxation was provided for on partial provision basis for timing differences using the income statement liability method in accordance with IAS 12 “Accounting for Taxes on Income”.  With the adoption of MASB 25, deferred tax is now provided for in full using balance sheet liability method on temporary differences arising from tax bases of assets and liabilities and their carrying amounts.
</t>
  </si>
  <si>
    <t>B.</t>
  </si>
  <si>
    <t>Tax expense for the period</t>
  </si>
  <si>
    <t>(The notes set out on pages 5 to 10 form an integral part of and should be read in conjunction with this interim financial report).</t>
  </si>
  <si>
    <t>(restated)</t>
  </si>
  <si>
    <t>Adjustments for non-cash items</t>
  </si>
  <si>
    <t>Net changes in working capital</t>
  </si>
  <si>
    <t>As at 1 July 2002</t>
  </si>
  <si>
    <t>As restated</t>
  </si>
  <si>
    <t>Share of  profits of associated companies</t>
  </si>
  <si>
    <t>The effective tax rate of the Group for the current quarter is lower than the statutory tax rate due principally to the utilisation of previously unrecognised tax losses, capital and agricultural allowances as well as previously unrecognised tax incentives available to certain subsidiaries.</t>
  </si>
  <si>
    <t>Property, plant and equipment</t>
  </si>
  <si>
    <t>Property plant &amp; equipment</t>
  </si>
  <si>
    <t>Deferred tax liabilities</t>
  </si>
  <si>
    <t>Earnings per Share</t>
  </si>
  <si>
    <t>Basic earnings per share</t>
  </si>
  <si>
    <t>Diluted earnings per share</t>
  </si>
  <si>
    <t>Diluted earnings per share (sen)</t>
  </si>
  <si>
    <t>Material changes in Estimates of Amounts Reported</t>
  </si>
  <si>
    <t xml:space="preserve">PRECEDING YEAR  CORRESPONDING QUARTER </t>
  </si>
  <si>
    <t xml:space="preserve">PRECEDING YEAR CORRESPONDING PERIOD      </t>
  </si>
  <si>
    <t>Change of accounting policy in respect of the recognition of gain or loss arising from deemed disposal when a subsidiary company issues new shares to minority shareholders.</t>
  </si>
  <si>
    <t>These gains and losses which were previously deferred in Capital Reserve and to be realised in income statement upon disposal of investment in subsidiary are now recognised in the income statement upon occurrence of deemed disposal provided that new shares are issued to minority shareholders for cash consideration and the issue price has been established at fair value.</t>
  </si>
  <si>
    <t>At 1 July 2002</t>
  </si>
  <si>
    <t>There were no unusual items affecting assets, liabilities, equity, net income and cash flows for the current financial period.</t>
  </si>
  <si>
    <t>There were no changes in estimates of amounts reported in prior interim period or financial year that have a material effect in the current financial period.</t>
  </si>
  <si>
    <t xml:space="preserve">This change in accounting policy is consistent with the requirements of MASB 11 - "Consolidated Financial Statements and Investments in Subsidiaries" and has been applied retrospectively.  Except for the reclassification of RM34,003,000 of opening balance of capital reserve to retained profits, the change in accounting policy does not affect the result of the Group for the financial period or other components of the financial statements. </t>
  </si>
  <si>
    <t>Assumed exercise of Executive Share Options at beginning of period</t>
  </si>
  <si>
    <t>Receivables</t>
  </si>
  <si>
    <t>Payables</t>
  </si>
  <si>
    <t>Resource-based manufacturing</t>
  </si>
  <si>
    <t>Palmco Holdings Berhad</t>
  </si>
  <si>
    <t>Kanzen Tetsu Sdn Bhd</t>
  </si>
  <si>
    <t>The accounting policies and methods of computation adopted by the Group in this interim financial report are consistent with those adopted in the annual financial statements for the financial year ended 30 June 2002 except for the following:</t>
  </si>
  <si>
    <t>Issuance/repurchase of shares (net)</t>
  </si>
  <si>
    <t>Capital distribution</t>
  </si>
  <si>
    <t>Dividends paid</t>
  </si>
  <si>
    <t>Dividends paid (minority shareholders)</t>
  </si>
  <si>
    <t>As at 31 December 2002</t>
  </si>
  <si>
    <t>Resource-based Manufacturing</t>
  </si>
  <si>
    <t>During the current financial year, the Company issued the following new ordinary shares of RM0.50 each:</t>
  </si>
  <si>
    <t>Option price (RM)</t>
  </si>
  <si>
    <t>Exercise price (RM)</t>
  </si>
  <si>
    <t>Denominated in EUR (EUR220,000,000)</t>
  </si>
  <si>
    <t>Revaluation surplus</t>
  </si>
  <si>
    <t>As previously reported</t>
  </si>
  <si>
    <t>Final dividend paid</t>
  </si>
  <si>
    <t>IOI Corporation Berhad</t>
  </si>
  <si>
    <t>Unipamol Malaysia Sdn Bhd</t>
  </si>
  <si>
    <t>all of which are pending disposal in Court.  Unipamol has obtained a favourable legal opinion from a Malaysian law firm on the merits of the case.</t>
  </si>
  <si>
    <t>iii)</t>
  </si>
  <si>
    <t>Unipamol Malaysia Sdn Bhd and Pamol Plantations Sdn Bhd</t>
  </si>
  <si>
    <t>Net current (liabilities)/assets</t>
  </si>
  <si>
    <t>Arising from the exercise of options granted under the Executive Share Option  Scheme</t>
  </si>
  <si>
    <t>m)</t>
  </si>
  <si>
    <t>Fair Value Adjustments on Newly Acquired Subsidiary Company</t>
  </si>
  <si>
    <t>Net cash inflow from operating activities</t>
  </si>
  <si>
    <t>Net cash outflow from investing activities</t>
  </si>
  <si>
    <t>Net cash inflow from financing activities</t>
  </si>
  <si>
    <t>No. of shares ('000)</t>
  </si>
  <si>
    <t>- 9.0 sen per ordinary share less 28% income tax</t>
  </si>
  <si>
    <t>- 7.5 sen per ordinary share less 28% income tax</t>
  </si>
  <si>
    <t xml:space="preserve">Profit on Sale of Unquoted Investments and/or Properties </t>
  </si>
  <si>
    <t>Effect of exchange rate changes</t>
  </si>
  <si>
    <t>There is minimal credit risk for the forward foreign exchange contracts that were entered into by the Group because the contracts were contracted with reputable banks.</t>
  </si>
  <si>
    <t>Sale contracts</t>
  </si>
  <si>
    <t>Purchase contracts</t>
  </si>
  <si>
    <t>The committed sales and purchases transactions that are hedged by forward contracts are subsequently recorded in the books at the contracted foreign exchange rates.  Other gains and losses arising from forward contracts are dealt with through the Income Statement upon maturity.</t>
  </si>
  <si>
    <t xml:space="preserve">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 </t>
  </si>
  <si>
    <t>The above exchange traded commodity contracts were entered into with the objective of managing and hedging the Group's exposure to adverse price movements in vegetable oil commodities.</t>
  </si>
  <si>
    <t>Arising from the exercise of subscription rights pertaining to Warrants 1995/2003</t>
  </si>
  <si>
    <t>Crude palm oil production</t>
  </si>
  <si>
    <t>Third</t>
  </si>
  <si>
    <t>Q3</t>
  </si>
  <si>
    <t>Nine</t>
  </si>
  <si>
    <t>3 months ended 31 March 2002</t>
  </si>
  <si>
    <t>9 Months Ended 31/03/002</t>
  </si>
  <si>
    <t>Unipamol Malaysia Sdn Bhd (w.e.f. 17 January 2003) *</t>
  </si>
  <si>
    <t>Pamol Plantations Sdn Bhd (w.e.f. 17 January 2003) *</t>
  </si>
  <si>
    <t>The Board has declared an interim dividend  of 20% or 10.0 sen per ordinary share of RM0.50 each less 28% income tax in respect of financial year ending 30 June 2003 (30 June 2002: 12% or 6.0 sen per ordinary share of RM0.50 each less 28% income tax).  The dividend was paid on 25 April 2003.</t>
  </si>
  <si>
    <t>No dividend has been proposed for this quarter.</t>
  </si>
  <si>
    <t>Weighted average number of ordinary shares in issue ('000)</t>
  </si>
  <si>
    <t>Adjusted weighted average number of ordinary shares in issue ('000)</t>
  </si>
  <si>
    <t>(9 months)</t>
  </si>
  <si>
    <t>Denominated in SGD (SGD32,000)</t>
  </si>
  <si>
    <t>Denominated in SGD (SGD9,400,000)</t>
  </si>
  <si>
    <t>There were no significant changes in contingent liabilities since the last annual balance sheet date.</t>
  </si>
  <si>
    <t>Issuance/repurchase of shares (subsidiary)</t>
  </si>
  <si>
    <t>The effects of the change in accounting policies as mentioned in (A) and (B) above on the comparatives are summarised as follows:-</t>
  </si>
  <si>
    <t>9 months ended 31 March 2002</t>
  </si>
  <si>
    <t>EFFECTIVE EQUITY INTEREST                    AS AT</t>
  </si>
  <si>
    <t>Commodity future contracts entered into by certain subsidiary companies and outstanding as at 9 May 2003 are as follows:</t>
  </si>
  <si>
    <t xml:space="preserve">The Company's Warrants 1995/2003 expired on 30 April 2003 with 3,599,359 warrants remaining unexercised and lapsed.  The Warrants 1995/2003 was subsequently removed from the Official List of the KLSE. </t>
  </si>
  <si>
    <t xml:space="preserve">Plantation earnings for the 4th quarter is expected to improve significantly as FFB production is expected to recover  from the seasonal low of the 3rd quarter whilst the performances of the other two core businesses i.e. property and manufacturing are expected to be satisfactory despite challenging business environment.  </t>
  </si>
  <si>
    <t>The new accounting policy on deferred taxation has increased tax expense for the nine months ended 31 March 2002 by RM22,813,000.</t>
  </si>
  <si>
    <t>Net earnings for the 3 months ended 31 March 2003 was lower than the corresponding Q3 of FY 2002 mainly because of lower contribution from the property segment by about RM10m and an unrealised exchange translation loss of approximately RM11m on the Company's Euro denominated loan for the current year Q3 whereas the previous year Q3 had the benefit of an exceptional gain of about RM23 mil arising from the disposal of Nissan IOI.</t>
  </si>
  <si>
    <t>Barring any unforeseen circumstances, the Group is expected to perform well for the financial year ending 30 June 2003.</t>
  </si>
  <si>
    <t>Proposal</t>
  </si>
  <si>
    <t>Adviser</t>
  </si>
  <si>
    <t>Approval Pending</t>
  </si>
  <si>
    <t>AmMerchant Bank Berhad as Main Adviser</t>
  </si>
  <si>
    <t>Commerce International Merchant Bankers Berhad as Independent Adviser</t>
  </si>
  <si>
    <t>Securities Commission;</t>
  </si>
  <si>
    <t>Foreign Investment Committee;</t>
  </si>
  <si>
    <t>Kuala Lumpur Stock Exchange ("KLSE") for the listing of and quotation for the additional consideration shares on the Main Board of the KLSE to be issued arising from the Proposal; and</t>
  </si>
  <si>
    <t>iv)</t>
  </si>
  <si>
    <t>the shareholders of the Company at an extraordinary general meetings to be convened in which interested shareholders shall abstained from voting.</t>
  </si>
  <si>
    <t>The status of corporate proposals announced by IOI Corporation Berhad but not completed as at 9 May 2003 are as follow:</t>
  </si>
  <si>
    <t>During the current financial year, the Company repurchased 11,698,000 of its issued shares capital from the open market.  The average price paid for the shares repurchased was RM4.99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</si>
  <si>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 xml:space="preserve">The total dividend declared for the current financial year is 10.0 sen per RM0.50 share less 28% income tax (30 June 2002: 6.0 sen per RM0.50 share less 28% income tax). </t>
  </si>
  <si>
    <t>There are no comparatives as this is the first financial year in which an interim financial report has been prepared in accordance with MASB 26 Interim Financial Reporting</t>
  </si>
  <si>
    <t>Pending finalisation of the valuation exercises on property, plant &amp; equipment and retirement benefit plans, provisional fair values have been assigned to certain identifiable assets and liabilities of Loders Croklaan Group for the purpose of acquisition accounting in accordance with MASB 21 "Business Combinations".</t>
  </si>
  <si>
    <t>On a segmental basis, plantation segment operating profit of RM380.6m for current year 9 months to-date is about 2.4 times of FY2002's 9 months operating profit of RM159.8m, because of much higher CPO prices and a 19% increase in Year-to-date ("YTD") CPO output.  Average CPO prices realised for YTD Q3 FY2003 was RM1,458 per MT as compared to RM1,028 per MT reported for YTD Q3 FY2002,  an increase of 42% whilst FFB production increased by 15% from 1,461,997MT to 1,680,574MT. CPO extraction rate increased from 21.09% to 21.89% to provide a composite improvement of 19% to CPO production.</t>
  </si>
  <si>
    <t>Operating result for resource-based manufacturing segment for YTD Q3 FY2003 was RM70.3m as compared to RM45.3m for YTD Q3 FY2002.</t>
  </si>
  <si>
    <t>Under/(Over) provision of current taxation in prior years</t>
  </si>
  <si>
    <t>an application to amend their Defence and include a Counter claim against Unipamol for a sum of RM208 million for special and general damages;</t>
  </si>
  <si>
    <t>Final dividend (FY2002)</t>
  </si>
  <si>
    <t>Second interim dividend (FY2001)</t>
  </si>
  <si>
    <t>Interim dividend (FY2002)</t>
  </si>
  <si>
    <t>- 6.0 sen per ordinary share less 28% income tax</t>
  </si>
  <si>
    <t>A legal suit has been instituted by Joseph bin Paulus Lantip, Mairin @ Martin bin Idang, Jaskri Doyou, Saffar bin Jumat @ Beklin bin Jumat, Datuk Miller Munang and George Windom Munang against Unipamol Malaysia Sdn Bhd ("Unipamol"), Pamol Plantations Sdn Bhd ("PPSB"), Unilever plc and its subsidiary Pamol (Sabah) Ltd.  The Writ of Summons and Statement of Claim are dated 4 December 2002 and inter-alia allege that the Defendants  have wrongfully refused or failed to continue with the Share Sale Agreement (to which PPSB is a party but not Unipamol) and Shareholders' Agreement (to which both PPSB and Unipamol are parties).  The Plaintiffs are claiming for inter-alia special damages of RM43.47 million, general damages of RM136.85 million or such amount as may be assessed, exemplary damages, interest and costs.  Unipamol and PPSB have entered an appearance and filed a defence to the claim as well as a counter-claim against the Plaintiffs.  Unipamol and PPSB have obtained a favourable legal opinion from a Malaysian law firm on the merits of the case.</t>
  </si>
  <si>
    <t>Results for the 9 months ended 31 March 2003 versus the corresponding period for FY2002 was however significantly better.  For the 9 months ended 31 March 2003, the Group recorded a revenue of RM2,770.0m and pre-tax profit of RM574.0m as compared to pre-tax profit of RM388.6m for the previous year's corresponding period, a 48% improvement due principally to significantly higher contribution from the plantation segment and consistent performances from other segments.</t>
  </si>
  <si>
    <t>Property segment's operating profit increased by 7% from RM161.0m for YTD Q3 FY2002 to RM172.4m for YTD Q3 FY2003.  The improvement is mainly attributed to higher sale of completed properties or properties in advance stage of completion, especially in Q1of FY2003.</t>
  </si>
  <si>
    <t xml:space="preserve">Forward foreign exchange sale and purchase contracts that were entered into as at 9 May 2003 (being a date not earlier than 7 days from the date of issue of the quarterly report) by certain subsidiary companies were RM 564.6m and RM 66.3m respectively.  These contracts were entered into as hedges for committed sales and purchases denominated in foreign currencies and to limit the exposure to potential changes in foreign exchange rates with respect to subsidiary companies’ foreign currencies denominated estimated receipts.  The maturity period of these contracts ranged from May 2003 to July 2004. </t>
  </si>
  <si>
    <t>Ringgit Equivalent (RM'mil)</t>
  </si>
  <si>
    <t>May 2003 to September 2003</t>
  </si>
  <si>
    <t>May 2003 to December 2003</t>
  </si>
  <si>
    <t xml:space="preserve">The profit before taxation for the current quarter is  lower as compared with the immediate preceding quarter mainly because of a drop of about 30% in FFB yield per mature hectare during Q3 as a result of seasonality factor. </t>
  </si>
  <si>
    <t>Plantation earnings for this third quarter was lower as the traditional low crop season for this quarter has resulted in a 30% drop in FFB production per mature hectare as compared with the preceding quarter.</t>
  </si>
  <si>
    <t>Proposed Acquisition of the Entire Issued and Paid-up Share Capital of B.A. Plantations Sdn Bhd, Mayvin (Sabah) Sdn Bhd, Pine Capital Sdn Bhd, Right Purpose Sdn Bhd and Mayvin Incorporated Sdn Bhd for a total purchase consideration of RM608 million.</t>
  </si>
  <si>
    <t>Denominated in EGP (EGP6,679,000)</t>
  </si>
  <si>
    <t>* Wholly owned  subsidiary of Palmco Holdings Berhad</t>
  </si>
</sst>
</file>

<file path=xl/styles.xml><?xml version="1.0" encoding="utf-8"?>
<styleSheet xmlns="http://schemas.openxmlformats.org/spreadsheetml/2006/main">
  <numFmts count="4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0.0%;[Red]\(0.0%\)"/>
    <numFmt numFmtId="199" formatCode="0.0%;\(0.0%\)"/>
    <numFmt numFmtId="200" formatCode="_ * #,##0.0_ ;_ * \-#,##0.0_ ;_ * &quot;-&quot;_ ;_ @_ "/>
  </numFmts>
  <fonts count="25">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
      <sz val="8"/>
      <name val="Tahoma"/>
      <family val="0"/>
    </font>
    <font>
      <b/>
      <sz val="8"/>
      <name val="Tahoma"/>
      <family val="0"/>
    </font>
    <font>
      <sz val="9.5"/>
      <name val="Times New Roman"/>
      <family val="1"/>
    </font>
    <font>
      <b/>
      <sz val="9.5"/>
      <name val="Times New Roman"/>
      <family val="1"/>
    </font>
    <font>
      <b/>
      <sz val="8"/>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12">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0" fillId="0" borderId="0" xfId="0" applyFont="1" applyAlignment="1">
      <alignment/>
    </xf>
    <xf numFmtId="179" fontId="7" fillId="0" borderId="0" xfId="15" applyNumberFormat="1" applyFont="1" applyAlignment="1">
      <alignment horizontal="right"/>
    </xf>
    <xf numFmtId="179"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79"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179" fontId="2" fillId="0" borderId="0" xfId="15" applyNumberFormat="1" applyFont="1" applyAlignment="1">
      <alignment vertical="top"/>
    </xf>
    <xf numFmtId="0" fontId="2" fillId="0" borderId="0" xfId="0" applyFont="1" applyAlignment="1">
      <alignment horizontal="left" vertical="top" wrapText="1"/>
    </xf>
    <xf numFmtId="0" fontId="11" fillId="0" borderId="0" xfId="0" applyFont="1" applyAlignment="1">
      <alignment/>
    </xf>
    <xf numFmtId="179" fontId="2" fillId="0" borderId="0" xfId="15" applyNumberFormat="1" applyFont="1" applyAlignment="1">
      <alignment vertical="center"/>
    </xf>
    <xf numFmtId="0" fontId="2" fillId="0" borderId="0" xfId="0" applyFont="1" applyAlignment="1">
      <alignment vertical="top" wrapText="1"/>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0" fontId="9" fillId="0" borderId="0" xfId="0" applyFont="1" applyAlignment="1">
      <alignment/>
    </xf>
    <xf numFmtId="179" fontId="2" fillId="0" borderId="2" xfId="15" applyNumberFormat="1" applyFont="1" applyBorder="1" applyAlignment="1">
      <alignment/>
    </xf>
    <xf numFmtId="179" fontId="2" fillId="0" borderId="0" xfId="15" applyNumberFormat="1"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3" fillId="0" borderId="3" xfId="0" applyFont="1" applyBorder="1" applyAlignment="1">
      <alignment horizontal="right"/>
    </xf>
    <xf numFmtId="179"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79" fontId="1" fillId="0" borderId="1" xfId="15" applyNumberFormat="1" applyFont="1" applyFill="1" applyBorder="1" applyAlignment="1">
      <alignment/>
    </xf>
    <xf numFmtId="179" fontId="1" fillId="0" borderId="0" xfId="15" applyNumberFormat="1" applyFont="1" applyFill="1" applyBorder="1" applyAlignment="1">
      <alignment/>
    </xf>
    <xf numFmtId="0" fontId="1" fillId="0" borderId="0" xfId="0" applyFont="1" applyFill="1" applyAlignment="1">
      <alignment horizontal="justify" vertical="top" wrapText="1"/>
    </xf>
    <xf numFmtId="10" fontId="1" fillId="0" borderId="2" xfId="22" applyNumberFormat="1" applyFont="1" applyBorder="1" applyAlignment="1">
      <alignment horizontal="right"/>
    </xf>
    <xf numFmtId="0" fontId="3" fillId="0" borderId="4" xfId="0" applyFont="1" applyBorder="1" applyAlignment="1">
      <alignment horizontal="right"/>
    </xf>
    <xf numFmtId="179" fontId="3" fillId="0" borderId="2" xfId="15" applyNumberFormat="1" applyFont="1" applyBorder="1" applyAlignment="1">
      <alignment/>
    </xf>
    <xf numFmtId="43" fontId="1" fillId="0" borderId="2" xfId="15" applyNumberFormat="1" applyFont="1" applyBorder="1" applyAlignment="1">
      <alignment horizontal="right"/>
    </xf>
    <xf numFmtId="179" fontId="1" fillId="0" borderId="2" xfId="15" applyNumberFormat="1" applyFont="1" applyBorder="1" applyAlignment="1">
      <alignment horizontal="right"/>
    </xf>
    <xf numFmtId="0" fontId="1" fillId="0" borderId="2" xfId="0" applyFont="1" applyBorder="1" applyAlignment="1">
      <alignment/>
    </xf>
    <xf numFmtId="179" fontId="1" fillId="0" borderId="5" xfId="15" applyNumberFormat="1" applyFont="1" applyBorder="1" applyAlignment="1">
      <alignment horizontal="right"/>
    </xf>
    <xf numFmtId="43" fontId="9" fillId="0" borderId="0" xfId="15" applyFont="1" applyFill="1" applyAlignment="1">
      <alignment/>
    </xf>
    <xf numFmtId="0" fontId="3" fillId="0" borderId="5" xfId="0" applyFont="1" applyBorder="1" applyAlignment="1">
      <alignment horizontal="right"/>
    </xf>
    <xf numFmtId="0" fontId="15" fillId="0" borderId="0" xfId="0" applyFont="1" applyAlignment="1">
      <alignment horizontal="right"/>
    </xf>
    <xf numFmtId="179" fontId="3" fillId="0" borderId="0" xfId="15" applyNumberFormat="1" applyFon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0" fontId="3" fillId="0" borderId="0" xfId="21" applyNumberFormat="1" applyFont="1" applyAlignment="1" quotePrefix="1">
      <alignment horizontal="left"/>
      <protection/>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79"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79"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79" fontId="9" fillId="0" borderId="4" xfId="15" applyNumberFormat="1" applyFont="1" applyFill="1" applyBorder="1" applyAlignment="1">
      <alignment/>
    </xf>
    <xf numFmtId="179" fontId="9" fillId="0" borderId="2" xfId="15" applyNumberFormat="1" applyFont="1" applyFill="1" applyBorder="1" applyAlignment="1">
      <alignment/>
    </xf>
    <xf numFmtId="179" fontId="9" fillId="0" borderId="6" xfId="15" applyNumberFormat="1" applyFont="1" applyFill="1" applyBorder="1" applyAlignment="1">
      <alignment/>
    </xf>
    <xf numFmtId="179" fontId="9" fillId="0" borderId="1" xfId="15" applyNumberFormat="1" applyFont="1" applyFill="1" applyBorder="1" applyAlignment="1">
      <alignment/>
    </xf>
    <xf numFmtId="179" fontId="9" fillId="0" borderId="7" xfId="15" applyNumberFormat="1" applyFont="1" applyFill="1" applyBorder="1" applyAlignment="1">
      <alignment/>
    </xf>
    <xf numFmtId="179" fontId="9" fillId="0" borderId="0"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top" wrapText="1"/>
    </xf>
    <xf numFmtId="0" fontId="3" fillId="0" borderId="0" xfId="0" applyFont="1" applyFill="1" applyBorder="1" applyAlignment="1">
      <alignment horizontal="right"/>
    </xf>
    <xf numFmtId="179" fontId="3" fillId="0" borderId="0" xfId="15" applyNumberFormat="1" applyFont="1" applyFill="1" applyAlignment="1">
      <alignment/>
    </xf>
    <xf numFmtId="0" fontId="3" fillId="0" borderId="0" xfId="0" applyFont="1" applyFill="1" applyBorder="1" applyAlignment="1">
      <alignment/>
    </xf>
    <xf numFmtId="0" fontId="1" fillId="0" borderId="0" xfId="0" applyFont="1" applyFill="1" applyAlignment="1">
      <alignment/>
    </xf>
    <xf numFmtId="179" fontId="1" fillId="0" borderId="4" xfId="15" applyNumberFormat="1" applyFont="1" applyFill="1" applyBorder="1" applyAlignment="1">
      <alignment/>
    </xf>
    <xf numFmtId="179" fontId="1" fillId="0" borderId="5" xfId="15" applyNumberFormat="1" applyFont="1" applyFill="1" applyBorder="1" applyAlignment="1">
      <alignment/>
    </xf>
    <xf numFmtId="179" fontId="1" fillId="0" borderId="0" xfId="15" applyNumberFormat="1" applyFont="1" applyFill="1" applyAlignment="1">
      <alignment/>
    </xf>
    <xf numFmtId="179" fontId="1" fillId="0" borderId="0" xfId="15" applyNumberFormat="1" applyFont="1" applyFill="1" applyBorder="1" applyAlignment="1">
      <alignment/>
    </xf>
    <xf numFmtId="0" fontId="1" fillId="0" borderId="0" xfId="0" applyFont="1" applyAlignment="1">
      <alignment horizontal="right"/>
    </xf>
    <xf numFmtId="179" fontId="2" fillId="0" borderId="6" xfId="15" applyNumberFormat="1" applyFont="1" applyFill="1" applyBorder="1" applyAlignment="1">
      <alignment/>
    </xf>
    <xf numFmtId="179" fontId="2" fillId="0" borderId="1" xfId="15" applyNumberFormat="1" applyFont="1" applyFill="1" applyBorder="1" applyAlignment="1">
      <alignment/>
    </xf>
    <xf numFmtId="179" fontId="2" fillId="0" borderId="7" xfId="15" applyNumberFormat="1" applyFont="1" applyFill="1" applyBorder="1" applyAlignment="1">
      <alignment/>
    </xf>
    <xf numFmtId="179" fontId="1" fillId="0" borderId="3" xfId="15" applyNumberFormat="1" applyFont="1" applyFill="1" applyBorder="1" applyAlignment="1">
      <alignment/>
    </xf>
    <xf numFmtId="179" fontId="2" fillId="0" borderId="6" xfId="15" applyNumberFormat="1" applyFont="1" applyBorder="1" applyAlignment="1">
      <alignment/>
    </xf>
    <xf numFmtId="179" fontId="2" fillId="0" borderId="0" xfId="0" applyNumberFormat="1" applyFont="1" applyAlignment="1">
      <alignment/>
    </xf>
    <xf numFmtId="14" fontId="3" fillId="0" borderId="1" xfId="0" applyNumberFormat="1" applyFont="1" applyBorder="1" applyAlignment="1">
      <alignment horizontal="right"/>
    </xf>
    <xf numFmtId="14" fontId="3" fillId="0" borderId="5" xfId="0" applyNumberFormat="1" applyFont="1" applyBorder="1" applyAlignment="1">
      <alignment horizontal="right"/>
    </xf>
    <xf numFmtId="14" fontId="3" fillId="0" borderId="3" xfId="0" applyNumberFormat="1" applyFont="1" applyBorder="1" applyAlignment="1">
      <alignment horizontal="right"/>
    </xf>
    <xf numFmtId="14" fontId="3" fillId="0" borderId="4" xfId="0" applyNumberFormat="1" applyFont="1" applyBorder="1" applyAlignment="1">
      <alignment horizontal="right"/>
    </xf>
    <xf numFmtId="179" fontId="3" fillId="0" borderId="0" xfId="15" applyNumberFormat="1" applyFont="1" applyFill="1" applyBorder="1" applyAlignment="1">
      <alignment horizontal="left" wrapText="1"/>
    </xf>
    <xf numFmtId="179"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alignment horizontal="right" vertical="top" wrapText="1"/>
    </xf>
    <xf numFmtId="0" fontId="3" fillId="0" borderId="0" xfId="0" applyFont="1" applyFill="1" applyBorder="1" applyAlignment="1">
      <alignment horizontal="left"/>
    </xf>
    <xf numFmtId="179" fontId="19" fillId="0" borderId="0" xfId="15" applyNumberFormat="1" applyFont="1" applyFill="1" applyAlignment="1">
      <alignment/>
    </xf>
    <xf numFmtId="179" fontId="19" fillId="0" borderId="0" xfId="15" applyNumberFormat="1" applyFont="1" applyFill="1" applyBorder="1" applyAlignment="1">
      <alignment/>
    </xf>
    <xf numFmtId="0" fontId="7" fillId="0" borderId="0" xfId="0" applyFont="1" applyFill="1" applyAlignment="1">
      <alignment/>
    </xf>
    <xf numFmtId="0" fontId="3" fillId="0" borderId="0" xfId="0" applyFont="1" applyBorder="1" applyAlignment="1">
      <alignment horizontal="left"/>
    </xf>
    <xf numFmtId="0" fontId="3" fillId="0" borderId="0" xfId="0" applyFont="1" applyFill="1" applyAlignment="1">
      <alignment horizontal="center"/>
    </xf>
    <xf numFmtId="179" fontId="9" fillId="0" borderId="0" xfId="15" applyNumberFormat="1" applyFont="1" applyFill="1" applyAlignment="1">
      <alignment vertical="top"/>
    </xf>
    <xf numFmtId="179" fontId="9" fillId="0" borderId="1" xfId="15" applyNumberFormat="1" applyFont="1" applyFill="1" applyBorder="1" applyAlignment="1">
      <alignment vertical="top"/>
    </xf>
    <xf numFmtId="179" fontId="9" fillId="0" borderId="0" xfId="15" applyNumberFormat="1" applyFont="1" applyFill="1" applyBorder="1" applyAlignment="1">
      <alignment vertical="top"/>
    </xf>
    <xf numFmtId="179" fontId="9" fillId="0" borderId="7"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horizontal="left" vertical="top"/>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0" fontId="3" fillId="0" borderId="0" xfId="0" applyFont="1" applyFill="1" applyAlignment="1">
      <alignment horizontal="left" vertical="top"/>
    </xf>
    <xf numFmtId="179" fontId="1" fillId="0" borderId="0" xfId="15" applyNumberFormat="1" applyFont="1" applyFill="1" applyAlignment="1">
      <alignment horizontal="right" vertical="top" wrapText="1"/>
    </xf>
    <xf numFmtId="0" fontId="1" fillId="0" borderId="0" xfId="0" applyFont="1" applyFill="1" applyAlignment="1">
      <alignment horizontal="right" vertical="top"/>
    </xf>
    <xf numFmtId="179"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79" fontId="3" fillId="0" borderId="0" xfId="15" applyNumberFormat="1" applyFont="1" applyFill="1" applyBorder="1" applyAlignment="1">
      <alignment horizontal="left" vertical="top" wrapText="1"/>
    </xf>
    <xf numFmtId="179"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79" fontId="3" fillId="0" borderId="7" xfId="0" applyNumberFormat="1" applyFont="1" applyFill="1" applyBorder="1" applyAlignment="1">
      <alignment vertical="center"/>
    </xf>
    <xf numFmtId="179" fontId="1" fillId="0" borderId="7" xfId="0" applyNumberFormat="1" applyFont="1" applyFill="1" applyBorder="1" applyAlignment="1">
      <alignment vertical="center"/>
    </xf>
    <xf numFmtId="179" fontId="1" fillId="0" borderId="0" xfId="15" applyNumberFormat="1" applyFont="1" applyFill="1" applyAlignment="1">
      <alignment horizontal="justify" vertical="center" wrapText="1"/>
    </xf>
    <xf numFmtId="179" fontId="3" fillId="0" borderId="0" xfId="0" applyNumberFormat="1" applyFont="1" applyFill="1" applyBorder="1" applyAlignment="1">
      <alignment/>
    </xf>
    <xf numFmtId="179" fontId="1" fillId="0" borderId="0" xfId="0" applyNumberFormat="1" applyFont="1" applyFill="1" applyBorder="1" applyAlignment="1">
      <alignment/>
    </xf>
    <xf numFmtId="0" fontId="3" fillId="0" borderId="0" xfId="0" applyFont="1" applyFill="1" applyAlignment="1">
      <alignment/>
    </xf>
    <xf numFmtId="179" fontId="7" fillId="0" borderId="0" xfId="15" applyNumberFormat="1" applyFont="1" applyFill="1" applyAlignment="1">
      <alignment/>
    </xf>
    <xf numFmtId="179" fontId="7" fillId="0" borderId="4" xfId="15" applyNumberFormat="1" applyFont="1" applyFill="1" applyBorder="1" applyAlignment="1">
      <alignment/>
    </xf>
    <xf numFmtId="179" fontId="7" fillId="0" borderId="5" xfId="15" applyNumberFormat="1" applyFont="1" applyFill="1" applyBorder="1" applyAlignment="1">
      <alignment/>
    </xf>
    <xf numFmtId="179" fontId="7" fillId="0" borderId="3" xfId="15" applyNumberFormat="1" applyFont="1" applyFill="1" applyBorder="1" applyAlignment="1">
      <alignment/>
    </xf>
    <xf numFmtId="179" fontId="3" fillId="0" borderId="8" xfId="15" applyNumberFormat="1" applyFont="1" applyFill="1" applyBorder="1" applyAlignment="1">
      <alignment/>
    </xf>
    <xf numFmtId="0" fontId="1" fillId="0" borderId="0" xfId="0" applyFont="1" applyFill="1" applyAlignment="1">
      <alignment horizontal="right"/>
    </xf>
    <xf numFmtId="0" fontId="0" fillId="0" borderId="0" xfId="0" applyAlignment="1">
      <alignment horizontal="justify" vertical="top"/>
    </xf>
    <xf numFmtId="179" fontId="9" fillId="0" borderId="0" xfId="15" applyNumberFormat="1" applyFont="1" applyFill="1" applyBorder="1" applyAlignment="1">
      <alignment vertical="center"/>
    </xf>
    <xf numFmtId="0" fontId="2" fillId="0" borderId="0" xfId="0" applyFont="1" applyBorder="1" applyAlignment="1">
      <alignment vertical="center"/>
    </xf>
    <xf numFmtId="179" fontId="2" fillId="0" borderId="0" xfId="15" applyNumberFormat="1" applyFont="1" applyFill="1" applyBorder="1" applyAlignment="1">
      <alignment vertical="top"/>
    </xf>
    <xf numFmtId="179" fontId="2" fillId="0" borderId="0" xfId="15" applyNumberFormat="1" applyFont="1" applyFill="1" applyBorder="1" applyAlignment="1">
      <alignment vertical="center"/>
    </xf>
    <xf numFmtId="179" fontId="2" fillId="0" borderId="1" xfId="15" applyNumberFormat="1" applyFont="1" applyFill="1" applyBorder="1" applyAlignment="1">
      <alignment vertical="top"/>
    </xf>
    <xf numFmtId="179" fontId="2" fillId="0" borderId="7" xfId="15" applyNumberFormat="1" applyFont="1" applyFill="1" applyBorder="1" applyAlignment="1">
      <alignment vertical="center"/>
    </xf>
    <xf numFmtId="0" fontId="2" fillId="0" borderId="0" xfId="0" applyNumberFormat="1" applyFont="1" applyAlignment="1">
      <alignment horizontal="left" vertical="top"/>
    </xf>
    <xf numFmtId="0" fontId="2" fillId="0" borderId="0" xfId="0" applyFont="1" applyFill="1" applyAlignment="1">
      <alignment horizontal="left" vertical="top" wrapText="1" indent="1"/>
    </xf>
    <xf numFmtId="0" fontId="13" fillId="0" borderId="0" xfId="0" applyFont="1" applyFill="1" applyAlignment="1">
      <alignment horizontal="left" vertical="top" wrapText="1" indent="2"/>
    </xf>
    <xf numFmtId="179" fontId="2" fillId="0" borderId="0" xfId="15" applyNumberFormat="1" applyFont="1" applyFill="1" applyAlignment="1">
      <alignment/>
    </xf>
    <xf numFmtId="179" fontId="2" fillId="0" borderId="4" xfId="15" applyNumberFormat="1" applyFont="1" applyFill="1" applyBorder="1" applyAlignment="1">
      <alignment/>
    </xf>
    <xf numFmtId="179" fontId="2" fillId="0" borderId="2" xfId="15" applyNumberFormat="1" applyFont="1" applyFill="1" applyBorder="1" applyAlignment="1">
      <alignment/>
    </xf>
    <xf numFmtId="43" fontId="2" fillId="0" borderId="0" xfId="15" applyFont="1" applyFill="1" applyAlignment="1">
      <alignment/>
    </xf>
    <xf numFmtId="179" fontId="9" fillId="0" borderId="3" xfId="15" applyNumberFormat="1" applyFont="1" applyFill="1" applyBorder="1" applyAlignment="1">
      <alignment/>
    </xf>
    <xf numFmtId="179" fontId="2" fillId="0" borderId="3" xfId="15" applyNumberFormat="1" applyFont="1" applyBorder="1" applyAlignment="1">
      <alignment/>
    </xf>
    <xf numFmtId="0" fontId="9" fillId="0" borderId="0" xfId="0" applyFont="1" applyAlignment="1">
      <alignment horizontal="left"/>
    </xf>
    <xf numFmtId="0" fontId="6" fillId="0" borderId="0" xfId="21">
      <alignment/>
      <protection/>
    </xf>
    <xf numFmtId="0" fontId="2" fillId="0" borderId="0" xfId="21" applyFont="1">
      <alignment/>
      <protection/>
    </xf>
    <xf numFmtId="0" fontId="2" fillId="0" borderId="0" xfId="0" applyFont="1" applyAlignment="1">
      <alignment horizontal="left" indent="1"/>
    </xf>
    <xf numFmtId="179" fontId="2" fillId="0" borderId="0" xfId="21" applyNumberFormat="1" applyFont="1">
      <alignment/>
      <protection/>
    </xf>
    <xf numFmtId="0" fontId="2" fillId="0" borderId="0" xfId="0" applyFont="1" applyAlignment="1">
      <alignment horizontal="left"/>
    </xf>
    <xf numFmtId="0" fontId="6" fillId="0" borderId="0" xfId="21" applyFont="1">
      <alignment/>
      <protection/>
    </xf>
    <xf numFmtId="0" fontId="9" fillId="0" borderId="0" xfId="0" applyFont="1" applyAlignment="1" quotePrefix="1">
      <alignment vertical="top" wrapText="1"/>
    </xf>
    <xf numFmtId="0" fontId="18" fillId="0" borderId="0" xfId="21" applyFont="1" applyAlignment="1">
      <alignment vertical="top" wrapText="1"/>
      <protection/>
    </xf>
    <xf numFmtId="0" fontId="6" fillId="0" borderId="0" xfId="21" applyAlignment="1">
      <alignment vertical="top" wrapText="1"/>
      <protection/>
    </xf>
    <xf numFmtId="0" fontId="6" fillId="0" borderId="0" xfId="21" applyAlignment="1">
      <alignment horizontal="right" vertical="top" wrapText="1"/>
      <protection/>
    </xf>
    <xf numFmtId="179" fontId="6" fillId="0" borderId="0" xfId="15" applyNumberFormat="1" applyAlignment="1">
      <alignment/>
    </xf>
    <xf numFmtId="0" fontId="9" fillId="0" borderId="0" xfId="21" applyFont="1" applyAlignment="1">
      <alignment horizontal="right" vertical="top" wrapText="1"/>
      <protection/>
    </xf>
    <xf numFmtId="179" fontId="9" fillId="0" borderId="7" xfId="15" applyNumberFormat="1" applyFont="1" applyBorder="1" applyAlignment="1">
      <alignment/>
    </xf>
    <xf numFmtId="0" fontId="6" fillId="0" borderId="0" xfId="21" applyAlignment="1">
      <alignment/>
      <protection/>
    </xf>
    <xf numFmtId="179" fontId="9" fillId="0" borderId="0" xfId="15" applyNumberFormat="1" applyFont="1" applyAlignment="1">
      <alignment/>
    </xf>
    <xf numFmtId="179" fontId="9"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6" fillId="0" borderId="0" xfId="21" applyFill="1" applyAlignment="1">
      <alignment/>
      <protection/>
    </xf>
    <xf numFmtId="0" fontId="3" fillId="0" borderId="0" xfId="0" applyNumberFormat="1" applyFont="1" applyFill="1" applyAlignment="1">
      <alignment vertical="top"/>
    </xf>
    <xf numFmtId="0" fontId="3" fillId="0" borderId="0" xfId="0" applyFont="1" applyFill="1" applyAlignment="1">
      <alignment vertical="top"/>
    </xf>
    <xf numFmtId="0" fontId="1" fillId="0" borderId="0" xfId="0" applyFont="1" applyFill="1" applyAlignment="1">
      <alignment vertical="top" wrapText="1"/>
    </xf>
    <xf numFmtId="179" fontId="1" fillId="0" borderId="0" xfId="15" applyNumberFormat="1" applyFont="1" applyFill="1" applyAlignment="1">
      <alignment vertical="top"/>
    </xf>
    <xf numFmtId="43" fontId="1" fillId="0" borderId="9" xfId="0" applyNumberFormat="1" applyFont="1" applyFill="1" applyBorder="1" applyAlignment="1">
      <alignment horizontal="justify" vertical="top"/>
    </xf>
    <xf numFmtId="0" fontId="1" fillId="0" borderId="9" xfId="0" applyFont="1" applyFill="1" applyBorder="1" applyAlignment="1">
      <alignment horizontal="justify" vertical="top"/>
    </xf>
    <xf numFmtId="179" fontId="1" fillId="0" borderId="3" xfId="15" applyNumberFormat="1" applyFont="1" applyFill="1" applyBorder="1" applyAlignment="1">
      <alignment/>
    </xf>
    <xf numFmtId="179" fontId="1" fillId="0" borderId="10" xfId="15" applyNumberFormat="1" applyFont="1" applyFill="1" applyBorder="1" applyAlignment="1">
      <alignment/>
    </xf>
    <xf numFmtId="179" fontId="1" fillId="0" borderId="11" xfId="15" applyNumberFormat="1" applyFont="1" applyFill="1" applyBorder="1" applyAlignment="1">
      <alignment/>
    </xf>
    <xf numFmtId="179" fontId="1" fillId="0" borderId="1" xfId="15" applyNumberFormat="1" applyFont="1" applyFill="1" applyBorder="1" applyAlignment="1">
      <alignment/>
    </xf>
    <xf numFmtId="179" fontId="1" fillId="0" borderId="12" xfId="15" applyNumberFormat="1" applyFont="1" applyFill="1" applyBorder="1" applyAlignment="1">
      <alignment/>
    </xf>
    <xf numFmtId="179" fontId="3" fillId="0" borderId="0" xfId="15" applyNumberFormat="1" applyFont="1" applyFill="1" applyAlignment="1">
      <alignment vertical="top"/>
    </xf>
    <xf numFmtId="179" fontId="3" fillId="0" borderId="13" xfId="15" applyNumberFormat="1" applyFont="1" applyFill="1" applyBorder="1" applyAlignment="1">
      <alignment/>
    </xf>
    <xf numFmtId="179" fontId="3" fillId="0" borderId="14" xfId="15" applyNumberFormat="1" applyFont="1" applyFill="1" applyBorder="1" applyAlignment="1">
      <alignment/>
    </xf>
    <xf numFmtId="43" fontId="3" fillId="0" borderId="9" xfId="0" applyNumberFormat="1" applyFont="1" applyFill="1" applyBorder="1" applyAlignment="1">
      <alignment horizontal="justify" vertical="top"/>
    </xf>
    <xf numFmtId="0" fontId="2" fillId="0" borderId="0" xfId="0" applyFont="1" applyBorder="1" applyAlignment="1">
      <alignment wrapText="1"/>
    </xf>
    <xf numFmtId="179" fontId="9" fillId="0" borderId="1" xfId="15" applyNumberFormat="1" applyFont="1" applyFill="1" applyBorder="1" applyAlignment="1">
      <alignment wrapText="1"/>
    </xf>
    <xf numFmtId="179" fontId="2" fillId="0" borderId="1" xfId="15" applyNumberFormat="1" applyFont="1" applyFill="1" applyBorder="1" applyAlignment="1">
      <alignment wrapText="1"/>
    </xf>
    <xf numFmtId="179" fontId="2" fillId="0" borderId="0" xfId="15" applyNumberFormat="1" applyFont="1" applyBorder="1" applyAlignment="1">
      <alignment wrapText="1"/>
    </xf>
    <xf numFmtId="0" fontId="9" fillId="0" borderId="0" xfId="0" applyNumberFormat="1" applyFont="1" applyAlignment="1">
      <alignment horizontal="left" vertical="center" wrapText="1"/>
    </xf>
    <xf numFmtId="0" fontId="12" fillId="0" borderId="0" xfId="0" applyFont="1" applyAlignment="1">
      <alignment vertical="center"/>
    </xf>
    <xf numFmtId="0" fontId="9" fillId="0" borderId="0" xfId="0" applyFont="1" applyAlignment="1">
      <alignment wrapText="1"/>
    </xf>
    <xf numFmtId="0" fontId="2" fillId="0" borderId="0" xfId="21" applyFont="1" applyAlignment="1">
      <alignment wrapText="1"/>
      <protection/>
    </xf>
    <xf numFmtId="179" fontId="9" fillId="0" borderId="0" xfId="15" applyNumberFormat="1" applyFont="1" applyAlignment="1">
      <alignment wrapText="1"/>
    </xf>
    <xf numFmtId="0" fontId="6" fillId="0" borderId="0" xfId="21" applyFill="1" applyAlignment="1">
      <alignment wrapText="1"/>
      <protection/>
    </xf>
    <xf numFmtId="0" fontId="6" fillId="0" borderId="0" xfId="21" applyAlignment="1">
      <alignment wrapText="1"/>
      <protection/>
    </xf>
    <xf numFmtId="0" fontId="1" fillId="0" borderId="0" xfId="0" applyFont="1" applyAlignment="1" quotePrefix="1">
      <alignment/>
    </xf>
    <xf numFmtId="0" fontId="1" fillId="0" borderId="0" xfId="0" applyFont="1" applyAlignment="1" quotePrefix="1">
      <alignment/>
    </xf>
    <xf numFmtId="0" fontId="6" fillId="0" borderId="0" xfId="0" applyFont="1" applyFill="1" applyBorder="1" applyAlignment="1">
      <alignment horizontal="center"/>
    </xf>
    <xf numFmtId="179" fontId="7" fillId="0" borderId="0" xfId="15" applyNumberFormat="1" applyFont="1" applyFill="1" applyBorder="1" applyAlignment="1">
      <alignment/>
    </xf>
    <xf numFmtId="179" fontId="7" fillId="0" borderId="1" xfId="15" applyNumberFormat="1" applyFont="1" applyFill="1" applyBorder="1" applyAlignment="1">
      <alignment/>
    </xf>
    <xf numFmtId="179" fontId="1" fillId="0" borderId="7" xfId="0" applyNumberFormat="1" applyFont="1" applyFill="1" applyBorder="1" applyAlignment="1">
      <alignment horizontal="justify" vertical="top" wrapText="1"/>
    </xf>
    <xf numFmtId="0" fontId="1" fillId="0" borderId="0" xfId="0" applyFont="1" applyFill="1" applyAlignment="1">
      <alignment horizontal="left" vertical="top" wrapText="1" indent="1"/>
    </xf>
    <xf numFmtId="179" fontId="9" fillId="0" borderId="1" xfId="15" applyNumberFormat="1" applyFont="1" applyBorder="1" applyAlignment="1">
      <alignment/>
    </xf>
    <xf numFmtId="179" fontId="9" fillId="0" borderId="1" xfId="15" applyNumberFormat="1" applyFont="1" applyBorder="1" applyAlignment="1">
      <alignment/>
    </xf>
    <xf numFmtId="179" fontId="9" fillId="0" borderId="9" xfId="15" applyNumberFormat="1" applyFont="1" applyFill="1" applyBorder="1" applyAlignment="1">
      <alignment vertical="center"/>
    </xf>
    <xf numFmtId="179" fontId="2" fillId="0" borderId="9" xfId="15" applyNumberFormat="1" applyFont="1" applyFill="1" applyBorder="1" applyAlignment="1">
      <alignment vertical="center"/>
    </xf>
    <xf numFmtId="184" fontId="1" fillId="0" borderId="0" xfId="0" applyNumberFormat="1" applyFont="1" applyFill="1" applyAlignment="1">
      <alignment horizontal="right" vertical="top" wrapText="1"/>
    </xf>
    <xf numFmtId="184" fontId="1" fillId="0" borderId="0" xfId="22" applyNumberFormat="1" applyFont="1" applyFill="1" applyAlignment="1">
      <alignment horizontal="right" vertical="top" wrapText="1"/>
    </xf>
    <xf numFmtId="10" fontId="1" fillId="0" borderId="0" xfId="22" applyNumberFormat="1" applyFont="1" applyFill="1" applyAlignment="1">
      <alignment horizontal="justify" vertical="top" wrapText="1"/>
    </xf>
    <xf numFmtId="0" fontId="15" fillId="0" borderId="0" xfId="0" applyFont="1" applyFill="1" applyBorder="1" applyAlignment="1">
      <alignment horizontal="right" vertical="top" wrapText="1"/>
    </xf>
    <xf numFmtId="179" fontId="3" fillId="0" borderId="0" xfId="0" applyNumberFormat="1" applyFont="1" applyFill="1" applyBorder="1" applyAlignment="1">
      <alignment vertical="center"/>
    </xf>
    <xf numFmtId="179" fontId="1" fillId="0" borderId="0" xfId="0" applyNumberFormat="1" applyFont="1" applyFill="1" applyBorder="1" applyAlignment="1">
      <alignment vertical="center"/>
    </xf>
    <xf numFmtId="0" fontId="9" fillId="0" borderId="0" xfId="0" applyFont="1" applyFill="1" applyBorder="1" applyAlignment="1">
      <alignment horizontal="left"/>
    </xf>
    <xf numFmtId="9" fontId="2" fillId="0" borderId="0" xfId="22" applyFont="1" applyAlignment="1">
      <alignment horizontal="right"/>
    </xf>
    <xf numFmtId="179" fontId="9" fillId="0" borderId="0" xfId="15" applyNumberFormat="1" applyFont="1" applyAlignment="1">
      <alignment horizontal="right"/>
    </xf>
    <xf numFmtId="179" fontId="9" fillId="0" borderId="0" xfId="15" applyNumberFormat="1" applyFont="1" applyBorder="1" applyAlignment="1">
      <alignment horizontal="right"/>
    </xf>
    <xf numFmtId="179" fontId="9" fillId="0" borderId="1" xfId="15" applyNumberFormat="1" applyFont="1" applyBorder="1" applyAlignment="1">
      <alignment horizontal="right"/>
    </xf>
    <xf numFmtId="179" fontId="9" fillId="0" borderId="7" xfId="15" applyNumberFormat="1" applyFont="1" applyBorder="1" applyAlignment="1">
      <alignment horizontal="right"/>
    </xf>
    <xf numFmtId="179" fontId="9" fillId="0" borderId="3" xfId="15" applyNumberFormat="1" applyFont="1" applyBorder="1" applyAlignment="1">
      <alignment horizontal="right"/>
    </xf>
    <xf numFmtId="179" fontId="2" fillId="0" borderId="0" xfId="15" applyNumberFormat="1" applyFont="1" applyAlignment="1">
      <alignment horizontal="right"/>
    </xf>
    <xf numFmtId="179" fontId="2" fillId="0" borderId="0" xfId="15" applyNumberFormat="1" applyFont="1" applyBorder="1" applyAlignment="1">
      <alignment horizontal="right"/>
    </xf>
    <xf numFmtId="179" fontId="2" fillId="0" borderId="1" xfId="15" applyNumberFormat="1" applyFont="1" applyBorder="1" applyAlignment="1">
      <alignment horizontal="right"/>
    </xf>
    <xf numFmtId="179" fontId="2" fillId="0" borderId="7" xfId="15" applyNumberFormat="1" applyFont="1" applyBorder="1" applyAlignment="1">
      <alignment horizontal="right"/>
    </xf>
    <xf numFmtId="179" fontId="2" fillId="0" borderId="3" xfId="15" applyNumberFormat="1" applyFont="1" applyBorder="1" applyAlignment="1">
      <alignment horizontal="right"/>
    </xf>
    <xf numFmtId="179" fontId="2" fillId="0" borderId="0" xfId="0" applyNumberFormat="1" applyFont="1" applyFill="1" applyAlignment="1">
      <alignment/>
    </xf>
    <xf numFmtId="0" fontId="22" fillId="0" borderId="0" xfId="0" applyFont="1" applyAlignment="1">
      <alignment/>
    </xf>
    <xf numFmtId="0" fontId="23" fillId="0" borderId="0" xfId="0" applyFont="1" applyAlignment="1">
      <alignment vertical="top" wrapText="1"/>
    </xf>
    <xf numFmtId="0" fontId="23" fillId="0" borderId="0" xfId="0" applyFont="1" applyAlignment="1">
      <alignment horizontal="right" vertical="top" wrapText="1"/>
    </xf>
    <xf numFmtId="0" fontId="22" fillId="0" borderId="0" xfId="0" applyFont="1" applyFill="1" applyAlignment="1">
      <alignment/>
    </xf>
    <xf numFmtId="184" fontId="3" fillId="0" borderId="0" xfId="22" applyNumberFormat="1" applyFont="1" applyFill="1" applyAlignment="1">
      <alignment horizontal="right" vertical="top" wrapText="1"/>
    </xf>
    <xf numFmtId="9" fontId="3" fillId="0" borderId="0" xfId="22" applyFont="1" applyFill="1" applyAlignment="1">
      <alignment horizontal="right" vertical="top" wrapText="1"/>
    </xf>
    <xf numFmtId="43" fontId="1" fillId="0" borderId="0" xfId="15" applyFont="1" applyFill="1" applyAlignment="1">
      <alignment horizontal="left" vertical="top"/>
    </xf>
    <xf numFmtId="179" fontId="1" fillId="0" borderId="0" xfId="15" applyNumberFormat="1" applyFont="1" applyFill="1" applyAlignment="1">
      <alignment horizontal="justify" vertical="top"/>
    </xf>
    <xf numFmtId="0" fontId="1" fillId="0" borderId="0" xfId="0" applyFont="1" applyFill="1" applyAlignment="1">
      <alignment horizontal="justify" vertical="center"/>
    </xf>
    <xf numFmtId="179" fontId="1" fillId="0" borderId="0" xfId="0" applyNumberFormat="1" applyFont="1" applyFill="1" applyBorder="1" applyAlignment="1">
      <alignment horizontal="justify" vertical="center"/>
    </xf>
    <xf numFmtId="179" fontId="6" fillId="0" borderId="0" xfId="21" applyNumberFormat="1" applyFill="1">
      <alignment/>
      <protection/>
    </xf>
    <xf numFmtId="179" fontId="1" fillId="0" borderId="15" xfId="0" applyNumberFormat="1" applyFont="1" applyFill="1" applyBorder="1" applyAlignment="1">
      <alignment horizontal="justify" vertical="center"/>
    </xf>
    <xf numFmtId="179" fontId="1" fillId="0" borderId="1" xfId="15" applyNumberFormat="1" applyFont="1" applyFill="1" applyBorder="1" applyAlignment="1">
      <alignment horizontal="justify" vertical="top"/>
    </xf>
    <xf numFmtId="179" fontId="1" fillId="0" borderId="15" xfId="15" applyNumberFormat="1" applyFont="1" applyFill="1" applyBorder="1" applyAlignment="1">
      <alignment horizontal="justify" vertical="top"/>
    </xf>
    <xf numFmtId="0" fontId="9" fillId="0" borderId="0" xfId="0" applyNumberFormat="1" applyFont="1" applyAlignment="1">
      <alignment horizontal="left"/>
    </xf>
    <xf numFmtId="0" fontId="9" fillId="0" borderId="0" xfId="0" applyNumberFormat="1" applyFon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wrapText="1"/>
    </xf>
    <xf numFmtId="179" fontId="1" fillId="0" borderId="0" xfId="15" applyNumberFormat="1" applyFont="1" applyFill="1" applyBorder="1" applyAlignment="1">
      <alignment horizontal="justify" vertical="top"/>
    </xf>
    <xf numFmtId="0" fontId="2" fillId="0" borderId="0" xfId="0" applyFont="1" applyAlignment="1">
      <alignment horizontal="left" indent="2"/>
    </xf>
    <xf numFmtId="199" fontId="7" fillId="0" borderId="0" xfId="22" applyNumberFormat="1"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xf>
    <xf numFmtId="0" fontId="3" fillId="0" borderId="13" xfId="0" applyFont="1" applyFill="1" applyBorder="1" applyAlignment="1">
      <alignment horizontal="right"/>
    </xf>
    <xf numFmtId="14" fontId="3" fillId="0" borderId="14" xfId="0" applyNumberFormat="1" applyFont="1" applyFill="1" applyBorder="1" applyAlignment="1">
      <alignment horizontal="right"/>
    </xf>
    <xf numFmtId="179" fontId="3" fillId="0" borderId="8" xfId="15" applyNumberFormat="1" applyFont="1" applyFill="1" applyBorder="1" applyAlignment="1">
      <alignment horizontal="right"/>
    </xf>
    <xf numFmtId="0" fontId="3" fillId="0" borderId="8" xfId="0" applyFont="1" applyFill="1" applyBorder="1" applyAlignment="1">
      <alignment/>
    </xf>
    <xf numFmtId="179" fontId="3" fillId="0" borderId="14" xfId="15" applyNumberFormat="1" applyFont="1" applyFill="1" applyBorder="1" applyAlignment="1">
      <alignment horizontal="right"/>
    </xf>
    <xf numFmtId="14" fontId="3" fillId="0" borderId="13" xfId="0" applyNumberFormat="1" applyFont="1" applyFill="1" applyBorder="1" applyAlignment="1">
      <alignment horizontal="right"/>
    </xf>
    <xf numFmtId="0" fontId="3" fillId="0" borderId="14" xfId="0" applyFont="1" applyFill="1" applyBorder="1" applyAlignment="1">
      <alignment horizontal="right"/>
    </xf>
    <xf numFmtId="43" fontId="3" fillId="0" borderId="8" xfId="15" applyNumberFormat="1" applyFont="1" applyFill="1" applyBorder="1" applyAlignment="1">
      <alignment horizontal="right"/>
    </xf>
    <xf numFmtId="10" fontId="3" fillId="0" borderId="8"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179" fontId="3" fillId="0" borderId="3"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Fill="1" applyAlignment="1">
      <alignment horizontal="right"/>
    </xf>
    <xf numFmtId="179" fontId="1" fillId="0" borderId="0" xfId="15" applyNumberFormat="1" applyFont="1" applyFill="1" applyAlignment="1">
      <alignment horizontal="right"/>
    </xf>
    <xf numFmtId="179" fontId="6" fillId="0" borderId="0" xfId="15" applyNumberFormat="1" applyFont="1" applyFill="1" applyAlignment="1">
      <alignment/>
    </xf>
    <xf numFmtId="0" fontId="9" fillId="0" borderId="0" xfId="0" applyFont="1" applyFill="1" applyBorder="1" applyAlignment="1">
      <alignment horizontal="right" vertical="top" wrapText="1"/>
    </xf>
    <xf numFmtId="179" fontId="3" fillId="0" borderId="7" xfId="15" applyNumberFormat="1" applyFont="1" applyFill="1" applyBorder="1" applyAlignment="1">
      <alignment/>
    </xf>
    <xf numFmtId="179" fontId="3" fillId="0" borderId="9" xfId="15" applyNumberFormat="1" applyFont="1" applyFill="1" applyBorder="1" applyAlignment="1">
      <alignment/>
    </xf>
    <xf numFmtId="0" fontId="2" fillId="0" borderId="0" xfId="0" applyFont="1" applyFill="1" applyAlignment="1">
      <alignment horizontal="right"/>
    </xf>
    <xf numFmtId="0" fontId="13" fillId="0" borderId="0" xfId="0" applyFont="1" applyFill="1" applyAlignment="1">
      <alignment/>
    </xf>
    <xf numFmtId="0" fontId="1" fillId="0" borderId="0" xfId="0" applyFont="1" applyFill="1" applyAlignment="1">
      <alignment horizontal="left" indent="1"/>
    </xf>
    <xf numFmtId="179" fontId="3" fillId="0" borderId="0" xfId="0" applyNumberFormat="1" applyFont="1" applyFill="1" applyAlignment="1">
      <alignment horizontal="right"/>
    </xf>
    <xf numFmtId="179" fontId="3" fillId="0" borderId="1" xfId="15" applyNumberFormat="1" applyFont="1" applyFill="1" applyBorder="1" applyAlignment="1">
      <alignment horizontal="right"/>
    </xf>
    <xf numFmtId="179" fontId="3" fillId="0" borderId="15" xfId="15" applyNumberFormat="1" applyFont="1" applyFill="1" applyBorder="1" applyAlignment="1">
      <alignment horizontal="right"/>
    </xf>
    <xf numFmtId="179" fontId="3" fillId="0" borderId="15" xfId="0" applyNumberFormat="1" applyFont="1" applyFill="1" applyBorder="1" applyAlignment="1">
      <alignment/>
    </xf>
    <xf numFmtId="179" fontId="1" fillId="0" borderId="0" xfId="0" applyNumberFormat="1" applyFont="1" applyFill="1" applyAlignment="1">
      <alignment/>
    </xf>
    <xf numFmtId="0" fontId="1" fillId="0" borderId="0" xfId="0" applyFont="1" applyFill="1" applyBorder="1" applyAlignment="1">
      <alignment horizontal="left" indent="1"/>
    </xf>
    <xf numFmtId="0" fontId="3" fillId="0" borderId="0" xfId="0" applyFont="1" applyFill="1" applyAlignment="1">
      <alignment horizontal="center" vertical="top" wrapText="1"/>
    </xf>
    <xf numFmtId="14" fontId="3" fillId="0" borderId="0" xfId="0" applyNumberFormat="1" applyFont="1" applyFill="1" applyAlignment="1">
      <alignment vertical="top" wrapText="1"/>
    </xf>
    <xf numFmtId="0" fontId="1" fillId="0" borderId="1" xfId="0" applyFont="1" applyFill="1" applyBorder="1" applyAlignment="1">
      <alignment horizontal="left" vertical="top" wrapText="1"/>
    </xf>
    <xf numFmtId="0" fontId="1" fillId="0" borderId="16" xfId="0" applyFont="1" applyFill="1" applyBorder="1" applyAlignment="1">
      <alignment/>
    </xf>
    <xf numFmtId="0" fontId="1" fillId="0" borderId="8" xfId="0" applyFont="1" applyFill="1" applyBorder="1" applyAlignment="1">
      <alignment/>
    </xf>
    <xf numFmtId="0" fontId="1" fillId="0" borderId="1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xf>
    <xf numFmtId="0" fontId="1" fillId="0" borderId="0" xfId="0" applyFont="1" applyFill="1" applyBorder="1" applyAlignment="1">
      <alignment vertical="top"/>
    </xf>
    <xf numFmtId="0" fontId="1" fillId="0" borderId="11" xfId="0" applyFont="1" applyFill="1" applyBorder="1" applyAlignment="1">
      <alignment/>
    </xf>
    <xf numFmtId="0" fontId="1" fillId="0" borderId="14" xfId="0" applyFont="1" applyFill="1" applyBorder="1" applyAlignment="1">
      <alignment/>
    </xf>
    <xf numFmtId="0" fontId="1" fillId="0" borderId="1" xfId="0" applyFont="1" applyFill="1" applyBorder="1" applyAlignment="1">
      <alignment/>
    </xf>
    <xf numFmtId="0" fontId="1" fillId="0" borderId="12" xfId="0" applyFont="1" applyFill="1" applyBorder="1" applyAlignment="1">
      <alignment/>
    </xf>
    <xf numFmtId="0" fontId="1" fillId="0" borderId="1" xfId="0" applyFont="1" applyFill="1" applyBorder="1" applyAlignment="1">
      <alignment vertical="top"/>
    </xf>
    <xf numFmtId="0" fontId="1" fillId="0" borderId="15" xfId="0" applyFont="1" applyFill="1" applyBorder="1" applyAlignment="1">
      <alignment/>
    </xf>
    <xf numFmtId="0" fontId="1" fillId="0" borderId="17" xfId="0" applyFont="1" applyFill="1" applyBorder="1" applyAlignment="1">
      <alignment/>
    </xf>
    <xf numFmtId="0" fontId="1" fillId="0" borderId="3" xfId="0" applyFont="1" applyFill="1" applyBorder="1" applyAlignment="1">
      <alignment/>
    </xf>
    <xf numFmtId="0" fontId="1" fillId="0" borderId="10" xfId="0" applyFont="1" applyFill="1" applyBorder="1" applyAlignment="1">
      <alignment/>
    </xf>
    <xf numFmtId="0" fontId="0" fillId="0" borderId="0" xfId="0" applyFill="1" applyBorder="1" applyAlignment="1">
      <alignment/>
    </xf>
    <xf numFmtId="0" fontId="1" fillId="0" borderId="16" xfId="0" applyFont="1" applyFill="1" applyBorder="1" applyAlignment="1">
      <alignment horizontal="justify"/>
    </xf>
    <xf numFmtId="0" fontId="1" fillId="0" borderId="14" xfId="0" applyFont="1" applyFill="1" applyBorder="1" applyAlignment="1">
      <alignment horizontal="justify"/>
    </xf>
    <xf numFmtId="0" fontId="1" fillId="0" borderId="0" xfId="0" applyFont="1" applyFill="1" applyBorder="1" applyAlignment="1">
      <alignment horizontal="justify" vertical="top"/>
    </xf>
    <xf numFmtId="0" fontId="3" fillId="0" borderId="16" xfId="0" applyFont="1" applyFill="1" applyBorder="1" applyAlignment="1">
      <alignment horizontal="left" vertical="top" wrapText="1" indent="1"/>
    </xf>
    <xf numFmtId="0" fontId="1" fillId="0" borderId="15" xfId="0" applyFont="1" applyFill="1" applyBorder="1" applyAlignment="1">
      <alignment horizontal="left" vertical="top" wrapText="1"/>
    </xf>
    <xf numFmtId="0" fontId="1" fillId="0" borderId="15" xfId="0" applyFont="1" applyFill="1" applyBorder="1" applyAlignment="1">
      <alignment horizontal="justify"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0" xfId="0" applyFont="1" applyFill="1" applyBorder="1" applyAlignment="1">
      <alignment horizontal="right"/>
    </xf>
    <xf numFmtId="0" fontId="1" fillId="0" borderId="0" xfId="0" applyFont="1" applyFill="1" applyAlignment="1" quotePrefix="1">
      <alignment horizontal="justify" vertical="top"/>
    </xf>
    <xf numFmtId="0" fontId="0" fillId="0" borderId="0" xfId="0" applyAlignment="1">
      <alignment horizontal="justify" vertical="top"/>
    </xf>
    <xf numFmtId="179" fontId="3" fillId="0" borderId="0" xfId="15" applyNumberFormat="1" applyFont="1" applyFill="1" applyBorder="1" applyAlignment="1">
      <alignment/>
    </xf>
    <xf numFmtId="0" fontId="6" fillId="0" borderId="0" xfId="0" applyFont="1" applyFill="1" applyBorder="1" applyAlignment="1">
      <alignment horizontal="center"/>
    </xf>
    <xf numFmtId="43" fontId="1" fillId="0" borderId="0" xfId="15" applyFont="1" applyFill="1" applyAlignment="1">
      <alignment horizontal="left" vertical="center"/>
    </xf>
    <xf numFmtId="0" fontId="7" fillId="0" borderId="0" xfId="0" applyFont="1" applyFill="1" applyAlignment="1">
      <alignment horizontal="justify" vertical="top" wrapText="1"/>
    </xf>
    <xf numFmtId="0" fontId="15" fillId="0" borderId="0" xfId="0" applyFont="1" applyFill="1" applyAlignment="1">
      <alignment horizontal="center" vertical="top" wrapText="1"/>
    </xf>
    <xf numFmtId="0" fontId="1" fillId="0" borderId="1" xfId="0" applyFont="1" applyFill="1" applyBorder="1" applyAlignment="1">
      <alignment horizontal="justify"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justify" vertical="top" wrapText="1"/>
    </xf>
    <xf numFmtId="180" fontId="1" fillId="0" borderId="0" xfId="0" applyNumberFormat="1" applyFont="1" applyFill="1" applyAlignment="1" quotePrefix="1">
      <alignment horizontal="left"/>
    </xf>
    <xf numFmtId="179" fontId="1" fillId="0" borderId="0" xfId="15" applyNumberFormat="1" applyFont="1" applyFill="1" applyBorder="1" applyAlignment="1">
      <alignment/>
    </xf>
    <xf numFmtId="179" fontId="1" fillId="0" borderId="0" xfId="15" applyNumberFormat="1" applyFont="1" applyFill="1" applyBorder="1" applyAlignment="1">
      <alignment horizontal="justify"/>
    </xf>
    <xf numFmtId="0" fontId="1" fillId="0" borderId="0" xfId="0" applyFont="1" applyFill="1" applyAlignment="1">
      <alignment wrapText="1"/>
    </xf>
    <xf numFmtId="0" fontId="1" fillId="0" borderId="0" xfId="0" applyFont="1" applyFill="1" applyAlignment="1">
      <alignment horizontal="left" vertical="top" wrapText="1" indent="1"/>
    </xf>
    <xf numFmtId="0" fontId="3" fillId="0" borderId="0" xfId="0" applyFont="1" applyFill="1" applyBorder="1" applyAlignment="1">
      <alignment horizontal="right" vertical="top" wrapText="1"/>
    </xf>
    <xf numFmtId="0" fontId="15" fillId="0" borderId="0" xfId="0" applyFont="1" applyFill="1" applyAlignment="1">
      <alignment horizontal="center"/>
    </xf>
    <xf numFmtId="0" fontId="1" fillId="0" borderId="16" xfId="0" applyFont="1" applyFill="1" applyBorder="1" applyAlignment="1">
      <alignment horizontal="left" vertical="top" wrapText="1"/>
    </xf>
    <xf numFmtId="0" fontId="4" fillId="0" borderId="0" xfId="0" applyFont="1" applyBorder="1" applyAlignment="1">
      <alignment horizontal="center"/>
    </xf>
    <xf numFmtId="0" fontId="9" fillId="0" borderId="0" xfId="0" applyFont="1" applyAlignment="1" quotePrefix="1">
      <alignment vertical="top" wrapText="1"/>
    </xf>
    <xf numFmtId="0" fontId="6" fillId="0" borderId="0" xfId="0" applyFont="1" applyBorder="1" applyAlignment="1">
      <alignment horizontal="center"/>
    </xf>
    <xf numFmtId="0" fontId="9" fillId="0" borderId="0" xfId="0" applyFont="1" applyAlignment="1">
      <alignment horizontal="center"/>
    </xf>
    <xf numFmtId="0" fontId="18" fillId="0" borderId="0" xfId="21" applyFont="1" applyAlignment="1">
      <alignment vertical="top" wrapText="1"/>
      <protection/>
    </xf>
    <xf numFmtId="0" fontId="2" fillId="0" borderId="0" xfId="21" applyFont="1" applyAlignment="1">
      <alignment horizontal="left" wrapText="1"/>
      <protection/>
    </xf>
    <xf numFmtId="0" fontId="2" fillId="0" borderId="0" xfId="21" applyFont="1" applyAlignment="1">
      <alignment wrapText="1"/>
      <protection/>
    </xf>
    <xf numFmtId="0" fontId="2" fillId="0" borderId="0" xfId="21" applyFont="1" applyAlignment="1">
      <alignment horizontal="left" vertical="top" wrapText="1"/>
      <protection/>
    </xf>
    <xf numFmtId="0" fontId="18" fillId="0" borderId="0" xfId="21" applyFont="1" applyAlignment="1">
      <alignment horizontal="justify" vertical="top" wrapText="1"/>
      <protection/>
    </xf>
    <xf numFmtId="179" fontId="1" fillId="0" borderId="0" xfId="15" applyNumberFormat="1" applyFont="1" applyFill="1" applyAlignment="1">
      <alignment horizontal="justify" vertical="top"/>
    </xf>
    <xf numFmtId="0" fontId="3" fillId="0" borderId="0" xfId="0" applyFont="1" applyFill="1" applyAlignment="1">
      <alignment horizontal="right" vertical="top" wrapText="1"/>
    </xf>
    <xf numFmtId="0" fontId="1" fillId="0" borderId="0" xfId="0" applyFont="1" applyFill="1" applyAlignment="1">
      <alignment horizontal="justify" vertical="top"/>
    </xf>
    <xf numFmtId="43" fontId="1" fillId="0" borderId="0" xfId="15"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quotePrefix="1">
      <alignment horizontal="left" vertical="top" wrapText="1" indent="1"/>
    </xf>
    <xf numFmtId="0" fontId="1" fillId="0" borderId="0" xfId="0" applyFont="1" applyFill="1" applyAlignment="1">
      <alignment horizontal="justify" vertical="top" wrapText="1"/>
    </xf>
    <xf numFmtId="0" fontId="4" fillId="0" borderId="0" xfId="0" applyFont="1" applyFill="1" applyBorder="1" applyAlignment="1">
      <alignment horizontal="center"/>
    </xf>
    <xf numFmtId="179" fontId="3" fillId="0" borderId="14" xfId="15" applyNumberFormat="1" applyFont="1" applyFill="1" applyBorder="1" applyAlignment="1">
      <alignment/>
    </xf>
    <xf numFmtId="179" fontId="3" fillId="0" borderId="12" xfId="15" applyNumberFormat="1" applyFont="1" applyFill="1" applyBorder="1" applyAlignment="1">
      <alignment/>
    </xf>
    <xf numFmtId="179" fontId="3" fillId="0" borderId="13" xfId="15" applyNumberFormat="1" applyFont="1" applyFill="1" applyBorder="1" applyAlignment="1">
      <alignment/>
    </xf>
    <xf numFmtId="179" fontId="3" fillId="0" borderId="10" xfId="15" applyNumberFormat="1" applyFont="1" applyFill="1" applyBorder="1" applyAlignment="1">
      <alignment/>
    </xf>
    <xf numFmtId="0" fontId="3" fillId="0" borderId="0" xfId="0" applyFont="1" applyAlignment="1">
      <alignment horizontal="justify" vertical="top" wrapText="1"/>
    </xf>
    <xf numFmtId="0" fontId="0" fillId="0" borderId="0" xfId="0" applyFont="1" applyAlignment="1">
      <alignment horizontal="justify" vertical="top" wrapText="1"/>
    </xf>
    <xf numFmtId="0" fontId="1" fillId="0" borderId="0" xfId="0" applyFont="1" applyFill="1" applyAlignment="1">
      <alignment horizontal="justify" wrapText="1"/>
    </xf>
    <xf numFmtId="179" fontId="3" fillId="0" borderId="0" xfId="15" applyNumberFormat="1" applyFont="1" applyFill="1" applyAlignment="1">
      <alignment/>
    </xf>
    <xf numFmtId="179" fontId="3" fillId="0" borderId="1" xfId="15" applyNumberFormat="1" applyFont="1" applyFill="1" applyBorder="1" applyAlignment="1">
      <alignment/>
    </xf>
    <xf numFmtId="179" fontId="3" fillId="0" borderId="3" xfId="15" applyNumberFormat="1" applyFont="1" applyFill="1" applyBorder="1" applyAlignment="1">
      <alignment/>
    </xf>
    <xf numFmtId="0" fontId="1" fillId="0" borderId="0" xfId="0" applyFont="1" applyFill="1" applyAlignment="1">
      <alignment horizontal="left" indent="2"/>
    </xf>
    <xf numFmtId="0" fontId="1" fillId="0" borderId="0" xfId="0" applyFont="1" applyFill="1" applyAlignment="1">
      <alignment horizontal="justify" vertical="top" shrinkToFit="1"/>
    </xf>
    <xf numFmtId="0" fontId="0" fillId="0" borderId="0" xfId="0" applyFill="1" applyAlignment="1">
      <alignment horizontal="justify" vertical="top" shrinkToFit="1"/>
    </xf>
    <xf numFmtId="0" fontId="1" fillId="0" borderId="0" xfId="0" applyFont="1" applyFill="1" applyAlignment="1">
      <alignment/>
    </xf>
    <xf numFmtId="179" fontId="3" fillId="0" borderId="7" xfId="0" applyNumberFormat="1" applyFont="1" applyFill="1" applyBorder="1" applyAlignment="1">
      <alignment horizontal="justify" vertical="top" wrapText="1"/>
    </xf>
    <xf numFmtId="0" fontId="1" fillId="0" borderId="0" xfId="0" applyFont="1" applyFill="1" applyAlignment="1">
      <alignment horizontal="left" wrapText="1" indent="1"/>
    </xf>
    <xf numFmtId="0" fontId="15" fillId="0" borderId="0" xfId="0" applyFont="1" applyFill="1" applyAlignment="1">
      <alignment horizontal="right" vertical="top" wrapText="1"/>
    </xf>
    <xf numFmtId="0" fontId="1" fillId="0" borderId="0" xfId="0" applyFont="1" applyFill="1" applyAlignment="1">
      <alignment vertical="top" wrapText="1"/>
    </xf>
    <xf numFmtId="0" fontId="1" fillId="0" borderId="0" xfId="15" applyNumberFormat="1" applyFont="1" applyFill="1" applyAlignment="1">
      <alignment/>
    </xf>
    <xf numFmtId="179" fontId="3" fillId="0" borderId="0" xfId="15" applyNumberFormat="1" applyFont="1" applyFill="1" applyAlignment="1">
      <alignment horizontal="justify" vertical="top" wrapText="1"/>
    </xf>
    <xf numFmtId="0" fontId="1" fillId="0" borderId="16" xfId="0" applyFont="1" applyFill="1" applyBorder="1" applyAlignment="1">
      <alignment/>
    </xf>
    <xf numFmtId="0" fontId="1" fillId="0" borderId="15" xfId="0" applyFont="1" applyFill="1" applyBorder="1" applyAlignment="1">
      <alignment/>
    </xf>
    <xf numFmtId="200" fontId="1" fillId="0" borderId="15" xfId="0" applyNumberFormat="1" applyFont="1" applyFill="1" applyBorder="1" applyAlignment="1">
      <alignment horizontal="right"/>
    </xf>
    <xf numFmtId="0" fontId="1" fillId="0" borderId="1" xfId="0" applyFont="1" applyFill="1" applyBorder="1" applyAlignment="1">
      <alignment horizontal="justify" wrapText="1"/>
    </xf>
    <xf numFmtId="0" fontId="0" fillId="0" borderId="12" xfId="0" applyFill="1" applyBorder="1" applyAlignment="1">
      <alignment horizontal="justify"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right" vertical="top" wrapText="1"/>
    </xf>
    <xf numFmtId="0" fontId="3" fillId="0" borderId="15"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15" xfId="0" applyFont="1" applyFill="1" applyBorder="1" applyAlignment="1">
      <alignment vertical="top" wrapText="1"/>
    </xf>
    <xf numFmtId="0" fontId="3" fillId="0" borderId="17" xfId="0" applyFont="1" applyFill="1" applyBorder="1" applyAlignment="1">
      <alignment vertical="top" wrapText="1"/>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BC9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BC9FB"/>
      <rgbColor rgb="00339966"/>
      <rgbColor rgb="00B3FFB3"/>
      <rgbColor rgb="00D1C1F9"/>
      <rgbColor rgb="00D8EDFC"/>
      <rgbColor rgb="00993366"/>
      <rgbColor rgb="00F7EFA1"/>
      <rgbColor rgb="0094E28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S03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20Quarter%2003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so%20200212\Segment0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03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egment0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amp;L%20Details%2003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ashflow%2003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3738497</v>
          </cell>
        </row>
        <row r="12">
          <cell r="C12">
            <v>269960</v>
          </cell>
        </row>
        <row r="13">
          <cell r="C13">
            <v>20140</v>
          </cell>
        </row>
        <row r="14">
          <cell r="C14">
            <v>522517</v>
          </cell>
        </row>
        <row r="15">
          <cell r="C15">
            <v>658554</v>
          </cell>
        </row>
        <row r="17">
          <cell r="C17">
            <v>8817</v>
          </cell>
        </row>
        <row r="18">
          <cell r="C18">
            <v>468681</v>
          </cell>
        </row>
        <row r="21">
          <cell r="C21">
            <v>299366</v>
          </cell>
        </row>
        <row r="22">
          <cell r="C22">
            <v>428356</v>
          </cell>
        </row>
        <row r="23">
          <cell r="C23">
            <v>398887</v>
          </cell>
        </row>
        <row r="24">
          <cell r="C24">
            <v>202544</v>
          </cell>
        </row>
        <row r="25">
          <cell r="C25">
            <v>631</v>
          </cell>
        </row>
        <row r="26">
          <cell r="C26">
            <v>4188</v>
          </cell>
        </row>
        <row r="27">
          <cell r="C27">
            <v>2064</v>
          </cell>
        </row>
        <row r="28">
          <cell r="C28">
            <v>15649</v>
          </cell>
        </row>
        <row r="29">
          <cell r="C29">
            <v>608740</v>
          </cell>
        </row>
        <row r="30">
          <cell r="C30">
            <v>291019</v>
          </cell>
        </row>
        <row r="33">
          <cell r="C33">
            <v>175459</v>
          </cell>
        </row>
        <row r="34">
          <cell r="C34">
            <v>383319</v>
          </cell>
        </row>
        <row r="35">
          <cell r="C35">
            <v>2739</v>
          </cell>
        </row>
        <row r="36">
          <cell r="C36">
            <v>4154</v>
          </cell>
        </row>
        <row r="37">
          <cell r="C37">
            <v>13929</v>
          </cell>
        </row>
        <row r="38">
          <cell r="C38">
            <v>1800597</v>
          </cell>
        </row>
        <row r="39">
          <cell r="C39">
            <v>16371</v>
          </cell>
        </row>
        <row r="44">
          <cell r="C44">
            <v>527960</v>
          </cell>
        </row>
        <row r="45">
          <cell r="C45">
            <v>-94663</v>
          </cell>
        </row>
        <row r="46">
          <cell r="C46">
            <v>2179575</v>
          </cell>
        </row>
        <row r="47">
          <cell r="C47">
            <v>66784</v>
          </cell>
        </row>
        <row r="48">
          <cell r="C48">
            <v>6992</v>
          </cell>
        </row>
        <row r="49">
          <cell r="C49">
            <v>9413</v>
          </cell>
        </row>
        <row r="50">
          <cell r="C50">
            <v>64539</v>
          </cell>
        </row>
        <row r="51">
          <cell r="C51">
            <v>7561</v>
          </cell>
        </row>
        <row r="52">
          <cell r="C52">
            <v>696289</v>
          </cell>
        </row>
        <row r="54">
          <cell r="C54">
            <v>1149618</v>
          </cell>
        </row>
        <row r="55">
          <cell r="C55">
            <v>568976</v>
          </cell>
        </row>
        <row r="56">
          <cell r="C56">
            <v>70672</v>
          </cell>
        </row>
        <row r="57">
          <cell r="C57">
            <v>288326</v>
          </cell>
        </row>
      </sheetData>
      <sheetData sheetId="1">
        <row r="39">
          <cell r="C39">
            <v>-40258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workings"/>
      <sheetName val="Reserves"/>
    </sheetNames>
    <sheetDataSet>
      <sheetData sheetId="0">
        <row r="10">
          <cell r="C10">
            <v>2769981</v>
          </cell>
          <cell r="E10">
            <v>1123522</v>
          </cell>
          <cell r="G10">
            <v>1604595</v>
          </cell>
          <cell r="I10">
            <v>650610</v>
          </cell>
        </row>
        <row r="13">
          <cell r="C13">
            <v>585695</v>
          </cell>
          <cell r="E13">
            <v>171530</v>
          </cell>
          <cell r="G13">
            <v>382869</v>
          </cell>
          <cell r="I13">
            <v>171214</v>
          </cell>
        </row>
        <row r="14">
          <cell r="C14">
            <v>13297</v>
          </cell>
          <cell r="E14">
            <v>5414</v>
          </cell>
          <cell r="G14">
            <v>9303</v>
          </cell>
          <cell r="I14">
            <v>3060</v>
          </cell>
        </row>
        <row r="15">
          <cell r="C15">
            <v>-51233</v>
          </cell>
          <cell r="E15">
            <v>-25644</v>
          </cell>
          <cell r="G15">
            <v>-37221</v>
          </cell>
          <cell r="I15">
            <v>-13233</v>
          </cell>
        </row>
        <row r="16">
          <cell r="C16">
            <v>26265</v>
          </cell>
          <cell r="E16">
            <v>8494</v>
          </cell>
          <cell r="G16">
            <v>34526</v>
          </cell>
          <cell r="I16">
            <v>12865</v>
          </cell>
        </row>
        <row r="18">
          <cell r="C18">
            <v>-118105</v>
          </cell>
          <cell r="E18">
            <v>-39204</v>
          </cell>
          <cell r="G18">
            <v>-71949</v>
          </cell>
          <cell r="I18">
            <v>-34080</v>
          </cell>
        </row>
        <row r="20">
          <cell r="C20">
            <v>-97257</v>
          </cell>
          <cell r="E20">
            <v>-34133</v>
          </cell>
          <cell r="G20">
            <v>-71116</v>
          </cell>
          <cell r="I20">
            <v>-32577</v>
          </cell>
        </row>
      </sheetData>
      <sheetData sheetId="1">
        <row r="49">
          <cell r="D49">
            <v>96012</v>
          </cell>
          <cell r="F49">
            <v>30045</v>
          </cell>
        </row>
        <row r="50">
          <cell r="D50">
            <v>-9112</v>
          </cell>
          <cell r="F50">
            <v>-1203</v>
          </cell>
        </row>
        <row r="51">
          <cell r="D51">
            <v>5728</v>
          </cell>
          <cell r="F51">
            <v>2817</v>
          </cell>
        </row>
        <row r="52">
          <cell r="D52">
            <v>2543</v>
          </cell>
          <cell r="F52">
            <v>660</v>
          </cell>
        </row>
        <row r="53">
          <cell r="D53">
            <v>10562</v>
          </cell>
          <cell r="F53">
            <v>3978</v>
          </cell>
        </row>
        <row r="54">
          <cell r="D54">
            <v>-466</v>
          </cell>
          <cell r="F54">
            <v>-466</v>
          </cell>
        </row>
        <row r="55">
          <cell r="D55">
            <v>587</v>
          </cell>
          <cell r="F55">
            <v>527</v>
          </cell>
        </row>
        <row r="56">
          <cell r="D56">
            <v>12251</v>
          </cell>
          <cell r="F56">
            <v>2846</v>
          </cell>
        </row>
        <row r="57">
          <cell r="D57">
            <v>0</v>
          </cell>
          <cell r="F57">
            <v>0</v>
          </cell>
        </row>
        <row r="58">
          <cell r="D58">
            <v>0</v>
          </cell>
          <cell r="F58">
            <v>0</v>
          </cell>
        </row>
      </sheetData>
      <sheetData sheetId="2">
        <row r="13">
          <cell r="C13">
            <v>447988</v>
          </cell>
        </row>
        <row r="14">
          <cell r="C14">
            <v>0</v>
          </cell>
        </row>
        <row r="15">
          <cell r="C15">
            <v>0</v>
          </cell>
        </row>
        <row r="16">
          <cell r="C16">
            <v>3123</v>
          </cell>
        </row>
        <row r="17">
          <cell r="C17">
            <v>76850</v>
          </cell>
        </row>
        <row r="18">
          <cell r="C18">
            <v>0</v>
          </cell>
        </row>
        <row r="19">
          <cell r="C19">
            <v>-1</v>
          </cell>
        </row>
        <row r="24">
          <cell r="C24">
            <v>425006</v>
          </cell>
        </row>
        <row r="25">
          <cell r="C25">
            <v>442979</v>
          </cell>
        </row>
        <row r="28">
          <cell r="C28">
            <v>-171696</v>
          </cell>
        </row>
        <row r="32">
          <cell r="C32">
            <v>64539</v>
          </cell>
        </row>
        <row r="33">
          <cell r="C33">
            <v>0</v>
          </cell>
        </row>
        <row r="34">
          <cell r="C34">
            <v>0</v>
          </cell>
        </row>
        <row r="35">
          <cell r="C35">
            <v>0</v>
          </cell>
        </row>
        <row r="40">
          <cell r="C40">
            <v>43432</v>
          </cell>
        </row>
        <row r="41">
          <cell r="C41">
            <v>0</v>
          </cell>
        </row>
        <row r="42">
          <cell r="C42">
            <v>-34019</v>
          </cell>
        </row>
        <row r="47">
          <cell r="C47">
            <v>3918</v>
          </cell>
        </row>
        <row r="48">
          <cell r="C48">
            <v>-2324</v>
          </cell>
        </row>
        <row r="49">
          <cell r="C49">
            <v>5398</v>
          </cell>
        </row>
        <row r="61">
          <cell r="C61">
            <v>-36275</v>
          </cell>
        </row>
        <row r="62">
          <cell r="C62">
            <v>-58388</v>
          </cell>
        </row>
        <row r="63">
          <cell r="C63">
            <v>0</v>
          </cell>
        </row>
        <row r="64">
          <cell r="C64">
            <v>0</v>
          </cell>
        </row>
        <row r="65">
          <cell r="C65">
            <v>0</v>
          </cell>
        </row>
        <row r="66">
          <cell r="C66">
            <v>0</v>
          </cell>
        </row>
        <row r="71">
          <cell r="C71">
            <v>26491</v>
          </cell>
        </row>
        <row r="72">
          <cell r="C72">
            <v>-11184</v>
          </cell>
        </row>
        <row r="73">
          <cell r="C73">
            <v>0</v>
          </cell>
        </row>
        <row r="74">
          <cell r="C74">
            <v>0</v>
          </cell>
        </row>
        <row r="75">
          <cell r="C75">
            <v>0</v>
          </cell>
        </row>
        <row r="79">
          <cell r="C79">
            <v>-9962</v>
          </cell>
        </row>
        <row r="80">
          <cell r="C80">
            <v>-587</v>
          </cell>
        </row>
        <row r="81">
          <cell r="C81">
            <v>0</v>
          </cell>
        </row>
        <row r="82">
          <cell r="C82">
            <v>0</v>
          </cell>
        </row>
        <row r="83">
          <cell r="C83">
            <v>2803</v>
          </cell>
        </row>
        <row r="94">
          <cell r="C94">
            <v>1915970</v>
          </cell>
        </row>
        <row r="95">
          <cell r="C95">
            <v>-3974</v>
          </cell>
        </row>
        <row r="96">
          <cell r="C96">
            <v>289139</v>
          </cell>
        </row>
        <row r="97">
          <cell r="C97">
            <v>-21560</v>
          </cell>
        </row>
        <row r="106">
          <cell r="C106">
            <v>-69523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sheetDataSet>
      <sheetData sheetId="0">
        <row r="28">
          <cell r="I28">
            <v>0</v>
          </cell>
        </row>
        <row r="33">
          <cell r="I3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sheetName val="QTR"/>
      <sheetName val="M"/>
      <sheetName val="Frango Extract"/>
    </sheetNames>
    <sheetDataSet>
      <sheetData sheetId="0">
        <row r="57">
          <cell r="I57">
            <v>910234636.240876</v>
          </cell>
        </row>
        <row r="68">
          <cell r="D68">
            <v>39.40324678054627</v>
          </cell>
        </row>
        <row r="180">
          <cell r="D180">
            <v>36.55957039893287</v>
          </cell>
        </row>
        <row r="184">
          <cell r="I184">
            <v>67030424.318925336</v>
          </cell>
        </row>
        <row r="185">
          <cell r="I185">
            <v>3769443.090900637</v>
          </cell>
        </row>
      </sheetData>
      <sheetData sheetId="1">
        <row r="29">
          <cell r="I29">
            <v>930037883.7777779</v>
          </cell>
        </row>
        <row r="43">
          <cell r="D43">
            <v>9.296072935095397</v>
          </cell>
        </row>
        <row r="97">
          <cell r="D97">
            <v>8.736222252309334</v>
          </cell>
        </row>
        <row r="101">
          <cell r="I101">
            <v>56667538.18761502</v>
          </cell>
        </row>
        <row r="102">
          <cell r="I102">
            <v>2932862.2156895567</v>
          </cell>
        </row>
      </sheetData>
      <sheetData sheetId="3">
        <row r="11">
          <cell r="C11">
            <v>358662</v>
          </cell>
          <cell r="E11">
            <v>86457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sheetDataSet>
      <sheetData sheetId="0">
        <row r="10">
          <cell r="B10">
            <v>424285</v>
          </cell>
          <cell r="C10">
            <v>332534</v>
          </cell>
          <cell r="D10">
            <v>36813</v>
          </cell>
          <cell r="E10">
            <v>635295</v>
          </cell>
          <cell r="F10">
            <v>909360</v>
          </cell>
          <cell r="H10">
            <v>72552</v>
          </cell>
        </row>
        <row r="12">
          <cell r="B12">
            <v>396541</v>
          </cell>
          <cell r="F12">
            <v>30034</v>
          </cell>
          <cell r="I12">
            <v>-426575</v>
          </cell>
        </row>
        <row r="13">
          <cell r="G13">
            <v>359142</v>
          </cell>
        </row>
        <row r="16">
          <cell r="B16">
            <v>380642</v>
          </cell>
          <cell r="C16">
            <v>149893</v>
          </cell>
          <cell r="D16">
            <v>22476</v>
          </cell>
          <cell r="E16">
            <v>46699</v>
          </cell>
          <cell r="F16">
            <v>27740</v>
          </cell>
          <cell r="G16">
            <v>-4132</v>
          </cell>
          <cell r="H16">
            <v>-4631</v>
          </cell>
        </row>
        <row r="17">
          <cell r="J17">
            <v>-32992</v>
          </cell>
        </row>
        <row r="19">
          <cell r="J19">
            <v>-51233</v>
          </cell>
        </row>
        <row r="20">
          <cell r="J20">
            <v>13297</v>
          </cell>
        </row>
        <row r="21">
          <cell r="J21">
            <v>26265</v>
          </cell>
        </row>
      </sheetData>
      <sheetData sheetId="3">
        <row r="21">
          <cell r="D21">
            <v>106894</v>
          </cell>
        </row>
        <row r="22">
          <cell r="D22">
            <v>51371</v>
          </cell>
        </row>
        <row r="23">
          <cell r="D23">
            <v>6570</v>
          </cell>
        </row>
        <row r="28">
          <cell r="D28">
            <v>24228</v>
          </cell>
        </row>
        <row r="29">
          <cell r="D29">
            <v>-3396</v>
          </cell>
        </row>
        <row r="31">
          <cell r="D31">
            <v>-14137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oup"/>
      <sheetName val="Plantation"/>
      <sheetName val="Company"/>
      <sheetName val="Sheet5"/>
      <sheetName val="Sheet6"/>
    </sheetNames>
    <sheetDataSet>
      <sheetData sheetId="0">
        <row r="26">
          <cell r="BR26">
            <v>-118105</v>
          </cell>
        </row>
        <row r="28">
          <cell r="BR28">
            <v>-97257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orkings"/>
      <sheetName val="Statement"/>
      <sheetName val="Acq of Pamol"/>
    </sheetNames>
    <sheetDataSet>
      <sheetData sheetId="1">
        <row r="6">
          <cell r="B6">
            <v>574024</v>
          </cell>
        </row>
        <row r="9">
          <cell r="B9">
            <v>81761</v>
          </cell>
        </row>
        <row r="10">
          <cell r="B10">
            <v>51230</v>
          </cell>
        </row>
        <row r="11">
          <cell r="B11">
            <v>23653</v>
          </cell>
        </row>
        <row r="12">
          <cell r="B12">
            <v>14642</v>
          </cell>
        </row>
        <row r="13">
          <cell r="B13">
            <v>4137</v>
          </cell>
        </row>
        <row r="14">
          <cell r="B14">
            <v>4086</v>
          </cell>
        </row>
        <row r="15">
          <cell r="B15">
            <v>782</v>
          </cell>
        </row>
        <row r="16">
          <cell r="B16">
            <v>482</v>
          </cell>
        </row>
        <row r="17">
          <cell r="B17">
            <v>41</v>
          </cell>
        </row>
        <row r="18">
          <cell r="B18">
            <v>-86</v>
          </cell>
        </row>
        <row r="19">
          <cell r="B19">
            <v>-137</v>
          </cell>
        </row>
        <row r="20">
          <cell r="B20">
            <v>-297</v>
          </cell>
        </row>
        <row r="21">
          <cell r="B21">
            <v>-589</v>
          </cell>
        </row>
        <row r="22">
          <cell r="B22">
            <v>-1905</v>
          </cell>
        </row>
        <row r="23">
          <cell r="B23">
            <v>-2124</v>
          </cell>
        </row>
        <row r="24">
          <cell r="B24">
            <v>-9255</v>
          </cell>
        </row>
        <row r="25">
          <cell r="B25">
            <v>-13297</v>
          </cell>
        </row>
        <row r="26">
          <cell r="B26">
            <v>-26265</v>
          </cell>
        </row>
        <row r="28">
          <cell r="B28">
            <v>53116</v>
          </cell>
        </row>
        <row r="29">
          <cell r="B29">
            <v>-76641</v>
          </cell>
        </row>
        <row r="30">
          <cell r="B30">
            <v>-17562</v>
          </cell>
        </row>
        <row r="31">
          <cell r="B31">
            <v>-48815</v>
          </cell>
        </row>
        <row r="32">
          <cell r="B32">
            <v>-631</v>
          </cell>
        </row>
        <row r="33">
          <cell r="B33">
            <v>-18895</v>
          </cell>
        </row>
        <row r="34">
          <cell r="B34">
            <v>4721</v>
          </cell>
        </row>
        <row r="35">
          <cell r="B35">
            <v>3960</v>
          </cell>
        </row>
        <row r="37">
          <cell r="B37">
            <v>193</v>
          </cell>
        </row>
        <row r="38">
          <cell r="B38">
            <v>-249</v>
          </cell>
        </row>
        <row r="39">
          <cell r="B39">
            <v>-97982</v>
          </cell>
        </row>
        <row r="58">
          <cell r="B58">
            <v>-1403409</v>
          </cell>
        </row>
        <row r="61">
          <cell r="B61">
            <v>9739</v>
          </cell>
        </row>
        <row r="62">
          <cell r="B62">
            <v>894</v>
          </cell>
        </row>
        <row r="63">
          <cell r="B63">
            <v>584</v>
          </cell>
        </row>
        <row r="64">
          <cell r="B64">
            <v>-668</v>
          </cell>
        </row>
        <row r="65">
          <cell r="B65">
            <v>-36880</v>
          </cell>
        </row>
        <row r="66">
          <cell r="B66">
            <v>-130129</v>
          </cell>
        </row>
        <row r="72">
          <cell r="B72">
            <v>895556</v>
          </cell>
        </row>
        <row r="73">
          <cell r="B73">
            <v>522951</v>
          </cell>
        </row>
        <row r="74">
          <cell r="B74">
            <v>440000</v>
          </cell>
        </row>
        <row r="75">
          <cell r="B75">
            <v>25</v>
          </cell>
        </row>
        <row r="76">
          <cell r="B76">
            <v>-243</v>
          </cell>
        </row>
        <row r="77">
          <cell r="B77">
            <v>-34904</v>
          </cell>
        </row>
        <row r="78">
          <cell r="B78">
            <v>-58388</v>
          </cell>
        </row>
        <row r="79">
          <cell r="B79">
            <v>-58550</v>
          </cell>
        </row>
        <row r="80">
          <cell r="B80">
            <v>-59907</v>
          </cell>
        </row>
        <row r="81">
          <cell r="B81">
            <v>-139816</v>
          </cell>
        </row>
        <row r="85">
          <cell r="B85">
            <v>451526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showGridLines="0" tabSelected="1" workbookViewId="0" topLeftCell="A1">
      <selection activeCell="A1" sqref="A1:G1"/>
    </sheetView>
  </sheetViews>
  <sheetFormatPr defaultColWidth="9.140625" defaultRowHeight="12.75"/>
  <cols>
    <col min="1" max="1" width="24.140625" style="1" customWidth="1"/>
    <col min="2" max="2" width="0.9921875" style="1" customWidth="1"/>
    <col min="3" max="3" width="12.57421875" style="19" customWidth="1"/>
    <col min="4" max="4" width="15.7109375" style="1" customWidth="1"/>
    <col min="5" max="5" width="1.7109375" style="1" customWidth="1"/>
    <col min="6" max="6" width="11.8515625" style="19" customWidth="1"/>
    <col min="7" max="7" width="16.7109375" style="1" customWidth="1"/>
    <col min="8" max="16384" width="9.140625" style="1" customWidth="1"/>
  </cols>
  <sheetData>
    <row r="1" spans="1:10" ht="18.75">
      <c r="A1" s="361" t="s">
        <v>93</v>
      </c>
      <c r="B1" s="361"/>
      <c r="C1" s="361"/>
      <c r="D1" s="361"/>
      <c r="E1" s="361"/>
      <c r="F1" s="361"/>
      <c r="G1" s="361"/>
      <c r="H1" s="7"/>
      <c r="I1" s="7"/>
      <c r="J1" s="7"/>
    </row>
    <row r="2" spans="1:10" ht="12.75">
      <c r="A2" s="363"/>
      <c r="B2" s="363"/>
      <c r="C2" s="363"/>
      <c r="D2" s="363"/>
      <c r="E2" s="363"/>
      <c r="F2" s="363"/>
      <c r="G2" s="363"/>
      <c r="H2" s="8"/>
      <c r="I2" s="8"/>
      <c r="J2" s="8"/>
    </row>
    <row r="3" ht="12.75">
      <c r="G3" s="3"/>
    </row>
    <row r="4" spans="1:7" ht="14.25">
      <c r="A4" s="9" t="str">
        <f>"Interim report for the financial period ended "&amp;TEXT(Sheet1!B9,"dd mmmm yyyy")</f>
        <v>Interim report for the financial period ended 31 March 2003</v>
      </c>
      <c r="G4" s="3"/>
    </row>
    <row r="5" spans="1:7" ht="12.75">
      <c r="A5" s="10" t="s">
        <v>125</v>
      </c>
      <c r="G5" s="3"/>
    </row>
    <row r="6" spans="3:7" s="2" customFormat="1" ht="27" customHeight="1">
      <c r="C6" s="80"/>
      <c r="F6" s="80"/>
      <c r="G6" s="4"/>
    </row>
    <row r="7" ht="12.75">
      <c r="A7" s="3" t="s">
        <v>166</v>
      </c>
    </row>
    <row r="8" ht="18.75" customHeight="1"/>
    <row r="9" spans="3:7" s="32" customFormat="1" ht="12">
      <c r="C9" s="364" t="str">
        <f>"INDIVIDUAL QUARTER ("&amp;Sheet1!B4&amp;")"</f>
        <v>INDIVIDUAL QUARTER (Q3)</v>
      </c>
      <c r="D9" s="364"/>
      <c r="F9" s="364" t="str">
        <f>"CUMULATIVE QUARTER ("&amp;Sheet1!B6&amp;" Mths)"</f>
        <v>CUMULATIVE QUARTER (9 Mths)</v>
      </c>
      <c r="G9" s="364"/>
    </row>
    <row r="10" spans="3:7" ht="38.25" customHeight="1">
      <c r="C10" s="81" t="s">
        <v>8</v>
      </c>
      <c r="D10" s="30" t="s">
        <v>273</v>
      </c>
      <c r="E10" s="31"/>
      <c r="F10" s="81" t="s">
        <v>91</v>
      </c>
      <c r="G10" s="30" t="s">
        <v>274</v>
      </c>
    </row>
    <row r="11" spans="3:7" ht="18.75" customHeight="1">
      <c r="C11" s="81"/>
      <c r="D11" s="30" t="s">
        <v>258</v>
      </c>
      <c r="E11" s="31"/>
      <c r="F11" s="81"/>
      <c r="G11" s="30" t="s">
        <v>258</v>
      </c>
    </row>
    <row r="12" spans="3:7" s="29" customFormat="1" ht="17.25" customHeight="1">
      <c r="C12" s="82">
        <f>Sheet1!B9</f>
        <v>37711</v>
      </c>
      <c r="D12" s="44">
        <f>C12-365</f>
        <v>37346</v>
      </c>
      <c r="E12" s="31"/>
      <c r="F12" s="82">
        <f>Sheet1!B9</f>
        <v>37711</v>
      </c>
      <c r="G12" s="44">
        <f>F12-365</f>
        <v>37346</v>
      </c>
    </row>
    <row r="13" spans="3:7" s="29" customFormat="1" ht="12" customHeight="1">
      <c r="C13" s="83" t="s">
        <v>7</v>
      </c>
      <c r="D13" s="31" t="s">
        <v>7</v>
      </c>
      <c r="E13" s="31"/>
      <c r="F13" s="83" t="s">
        <v>7</v>
      </c>
      <c r="G13" s="31" t="s">
        <v>7</v>
      </c>
    </row>
    <row r="14" ht="9" customHeight="1"/>
    <row r="15" spans="1:7" s="29" customFormat="1" ht="18" customHeight="1" thickBot="1">
      <c r="A15" s="275" t="s">
        <v>134</v>
      </c>
      <c r="B15" s="33"/>
      <c r="C15" s="240">
        <f>'[2]IS'!$E10</f>
        <v>1123522</v>
      </c>
      <c r="D15" s="241">
        <f>'[2]IS'!$I10</f>
        <v>650610</v>
      </c>
      <c r="E15" s="49"/>
      <c r="F15" s="240">
        <f>'[2]IS'!$C10</f>
        <v>2769981</v>
      </c>
      <c r="G15" s="241">
        <f>'[2]IS'!$G10</f>
        <v>1604595</v>
      </c>
    </row>
    <row r="16" spans="1:7" s="29" customFormat="1" ht="9.75" customHeight="1">
      <c r="A16" s="275"/>
      <c r="B16" s="33"/>
      <c r="C16" s="170"/>
      <c r="D16" s="173"/>
      <c r="E16" s="49"/>
      <c r="F16" s="170"/>
      <c r="G16" s="173"/>
    </row>
    <row r="17" spans="1:7" s="50" customFormat="1" ht="18" customHeight="1">
      <c r="A17" s="276" t="s">
        <v>210</v>
      </c>
      <c r="B17" s="171"/>
      <c r="C17" s="170">
        <f>'[2]IS'!$E$13</f>
        <v>171530</v>
      </c>
      <c r="D17" s="173">
        <f>'[2]IS'!$I$13-298</f>
        <v>170916</v>
      </c>
      <c r="E17" s="49"/>
      <c r="F17" s="170">
        <f>'[2]IS'!$C$13</f>
        <v>585695</v>
      </c>
      <c r="G17" s="173">
        <f>'[2]IS'!$G$13-298-298-298</f>
        <v>381975</v>
      </c>
    </row>
    <row r="18" spans="1:7" s="50" customFormat="1" ht="18" customHeight="1">
      <c r="A18" s="277" t="s">
        <v>168</v>
      </c>
      <c r="B18" s="171"/>
      <c r="C18" s="170">
        <f>'[2]IS'!$E14</f>
        <v>5414</v>
      </c>
      <c r="D18" s="173">
        <f>'[2]IS'!$I14</f>
        <v>3060</v>
      </c>
      <c r="E18" s="49"/>
      <c r="F18" s="170">
        <f>'[2]IS'!$C14</f>
        <v>13297</v>
      </c>
      <c r="G18" s="173">
        <f>'[2]IS'!$G14</f>
        <v>9303</v>
      </c>
    </row>
    <row r="19" spans="1:7" s="50" customFormat="1" ht="18" customHeight="1">
      <c r="A19" s="277" t="s">
        <v>135</v>
      </c>
      <c r="B19" s="171"/>
      <c r="C19" s="170">
        <f>'[2]IS'!$E15</f>
        <v>-25644</v>
      </c>
      <c r="D19" s="173">
        <f>'[2]IS'!$I15</f>
        <v>-13233</v>
      </c>
      <c r="E19" s="49"/>
      <c r="F19" s="170">
        <f>'[2]IS'!$C15</f>
        <v>-51233</v>
      </c>
      <c r="G19" s="173">
        <f>'[2]IS'!$G15</f>
        <v>-37221</v>
      </c>
    </row>
    <row r="20" spans="1:7" s="220" customFormat="1" ht="28.5" customHeight="1">
      <c r="A20" s="278" t="s">
        <v>211</v>
      </c>
      <c r="C20" s="221">
        <f>'[2]IS'!$E16</f>
        <v>8494</v>
      </c>
      <c r="D20" s="222">
        <f>'[2]IS'!$I16</f>
        <v>12865</v>
      </c>
      <c r="E20" s="223"/>
      <c r="F20" s="221">
        <f>'[2]IS'!$C16</f>
        <v>26265</v>
      </c>
      <c r="G20" s="222">
        <f>'[2]IS'!$G16</f>
        <v>34526</v>
      </c>
    </row>
    <row r="21" spans="1:7" s="50" customFormat="1" ht="18" customHeight="1">
      <c r="A21" s="275" t="s">
        <v>167</v>
      </c>
      <c r="B21" s="171"/>
      <c r="C21" s="170">
        <f>SUM(C17:C20)</f>
        <v>159794</v>
      </c>
      <c r="D21" s="173">
        <f>SUM(D17:D20)</f>
        <v>173608</v>
      </c>
      <c r="E21" s="49"/>
      <c r="F21" s="170">
        <f>SUM(F17:F20)</f>
        <v>574024</v>
      </c>
      <c r="G21" s="173">
        <f>SUM(G17:G20)</f>
        <v>388583</v>
      </c>
    </row>
    <row r="22" spans="1:7" s="35" customFormat="1" ht="18" customHeight="1">
      <c r="A22" s="176" t="s">
        <v>6</v>
      </c>
      <c r="C22" s="130">
        <f>'[2]IS'!$E$18</f>
        <v>-39204</v>
      </c>
      <c r="D22" s="174">
        <f>'[2]IS'!$I$18-3198</f>
        <v>-37278</v>
      </c>
      <c r="E22" s="36"/>
      <c r="F22" s="130">
        <f>'[2]IS'!$C$18</f>
        <v>-118105</v>
      </c>
      <c r="G22" s="174">
        <f>'[2]IS'!$G$18+2032-885-3198</f>
        <v>-74000</v>
      </c>
    </row>
    <row r="23" spans="1:7" s="29" customFormat="1" ht="18" customHeight="1">
      <c r="A23" s="176" t="s">
        <v>169</v>
      </c>
      <c r="B23" s="40"/>
      <c r="C23" s="129">
        <f>SUM(C21:C22)</f>
        <v>120590</v>
      </c>
      <c r="D23" s="87">
        <f>SUM(D21:D22)</f>
        <v>136330</v>
      </c>
      <c r="E23" s="34"/>
      <c r="F23" s="129">
        <f>SUM(F21:F22)</f>
        <v>455919</v>
      </c>
      <c r="G23" s="87">
        <f>SUM(G21:G22)</f>
        <v>314583</v>
      </c>
    </row>
    <row r="24" spans="1:7" s="35" customFormat="1" ht="18" customHeight="1">
      <c r="A24" s="176" t="s">
        <v>136</v>
      </c>
      <c r="C24" s="131">
        <f>'[2]IS'!$E$20</f>
        <v>-34133</v>
      </c>
      <c r="D24" s="172">
        <f>'[2]IS'!$I$20</f>
        <v>-32577</v>
      </c>
      <c r="E24" s="36"/>
      <c r="F24" s="130">
        <f>'[2]IS'!$C$20</f>
        <v>-97257</v>
      </c>
      <c r="G24" s="174">
        <f>'[2]IS'!$G$20</f>
        <v>-71116</v>
      </c>
    </row>
    <row r="25" spans="1:7" s="33" customFormat="1" ht="27" customHeight="1" thickBot="1">
      <c r="A25" s="224" t="s">
        <v>170</v>
      </c>
      <c r="B25" s="225"/>
      <c r="C25" s="132">
        <f>SUM(C23:C24)</f>
        <v>86457</v>
      </c>
      <c r="D25" s="175">
        <f>SUM(D23:D24)</f>
        <v>103753</v>
      </c>
      <c r="E25" s="39"/>
      <c r="F25" s="132">
        <f>SUM(F23:F24)</f>
        <v>358662</v>
      </c>
      <c r="G25" s="175">
        <f>SUM(G23:G24)</f>
        <v>243467</v>
      </c>
    </row>
    <row r="26" spans="1:7" s="29" customFormat="1" ht="18" customHeight="1">
      <c r="A26" s="38"/>
      <c r="B26" s="38"/>
      <c r="C26" s="84"/>
      <c r="D26" s="34"/>
      <c r="E26" s="34"/>
      <c r="F26" s="84"/>
      <c r="G26" s="34"/>
    </row>
    <row r="27" spans="1:7" s="29" customFormat="1" ht="21" customHeight="1">
      <c r="A27" s="37" t="s">
        <v>172</v>
      </c>
      <c r="B27" s="38"/>
      <c r="C27" s="84"/>
      <c r="D27" s="34"/>
      <c r="E27" s="34"/>
      <c r="F27" s="84"/>
      <c r="G27" s="34"/>
    </row>
    <row r="28" spans="1:7" s="85" customFormat="1" ht="17.25" customHeight="1">
      <c r="A28" s="177" t="s">
        <v>162</v>
      </c>
      <c r="B28" s="51"/>
      <c r="C28" s="133">
        <f>'[4]QTR'!$D$43</f>
        <v>9.296072935095397</v>
      </c>
      <c r="D28" s="86">
        <v>12.22</v>
      </c>
      <c r="E28" s="87"/>
      <c r="F28" s="133">
        <f>'[4]YTD'!$D$68</f>
        <v>39.40324678054627</v>
      </c>
      <c r="G28" s="86">
        <v>28.85</v>
      </c>
    </row>
    <row r="29" spans="1:7" s="85" customFormat="1" ht="5.25" customHeight="1">
      <c r="A29" s="178"/>
      <c r="B29" s="51"/>
      <c r="C29" s="133"/>
      <c r="D29" s="86"/>
      <c r="E29" s="87"/>
      <c r="F29" s="133"/>
      <c r="G29" s="86"/>
    </row>
    <row r="30" spans="1:7" s="85" customFormat="1" ht="15.75" customHeight="1">
      <c r="A30" s="177" t="s">
        <v>171</v>
      </c>
      <c r="B30" s="51"/>
      <c r="C30" s="133">
        <f>'[4]QTR'!$D$97</f>
        <v>8.736222252309334</v>
      </c>
      <c r="D30" s="88">
        <v>11.16</v>
      </c>
      <c r="E30" s="87"/>
      <c r="F30" s="133">
        <f>'[4]YTD'!$D$180</f>
        <v>36.55957039893287</v>
      </c>
      <c r="G30" s="88">
        <v>27.77</v>
      </c>
    </row>
    <row r="31" spans="1:7" ht="12.75">
      <c r="A31" s="12"/>
      <c r="B31" s="108"/>
      <c r="C31" s="97"/>
      <c r="D31" s="108"/>
      <c r="E31" s="108"/>
      <c r="F31" s="97"/>
      <c r="G31" s="108"/>
    </row>
    <row r="32" spans="1:6" ht="12.75">
      <c r="A32" s="12"/>
      <c r="C32" s="18"/>
      <c r="F32" s="18"/>
    </row>
    <row r="33" spans="1:6" ht="15.75" customHeight="1">
      <c r="A33" s="12"/>
      <c r="C33" s="18"/>
      <c r="F33" s="18"/>
    </row>
    <row r="34" spans="1:3" ht="12.75">
      <c r="A34" s="12"/>
      <c r="C34" s="18"/>
    </row>
    <row r="35" spans="1:3" ht="12.75">
      <c r="A35" s="12"/>
      <c r="C35" s="18"/>
    </row>
    <row r="36" spans="1:7" ht="12.75">
      <c r="A36" s="362" t="s">
        <v>257</v>
      </c>
      <c r="B36" s="362"/>
      <c r="C36" s="362"/>
      <c r="D36" s="362"/>
      <c r="E36" s="362"/>
      <c r="F36" s="362"/>
      <c r="G36" s="362"/>
    </row>
    <row r="37" spans="1:8" ht="24.75" customHeight="1">
      <c r="A37" s="362"/>
      <c r="B37" s="362"/>
      <c r="C37" s="362"/>
      <c r="D37" s="362"/>
      <c r="E37" s="362"/>
      <c r="F37" s="362"/>
      <c r="G37" s="362"/>
      <c r="H37" s="192"/>
    </row>
    <row r="38" ht="27.75" customHeight="1"/>
    <row r="39" spans="1:3" ht="12.75">
      <c r="A39" s="12"/>
      <c r="C39" s="18"/>
    </row>
    <row r="40" spans="1:3" ht="12.75">
      <c r="A40" s="12"/>
      <c r="C40" s="18"/>
    </row>
    <row r="41" ht="12.75">
      <c r="A41" s="12"/>
    </row>
    <row r="42" ht="12.75">
      <c r="A42" s="12"/>
    </row>
    <row r="43" ht="12.75">
      <c r="A43" s="12"/>
    </row>
  </sheetData>
  <mergeCells count="5">
    <mergeCell ref="A1:G1"/>
    <mergeCell ref="A36:G37"/>
    <mergeCell ref="A2:G2"/>
    <mergeCell ref="F9:G9"/>
    <mergeCell ref="C9:D9"/>
  </mergeCells>
  <printOptions/>
  <pageMargins left="0.91" right="0.48" top="1.34" bottom="1.17" header="0.38" footer="1.1"/>
  <pageSetup horizontalDpi="300" verticalDpi="300" orientation="portrait" paperSize="9" r:id="rId3"/>
  <headerFooter alignWithMargins="0">
    <oddFooter>&amp;C&amp;"Times New Roman,Regular"&amp;7- Page &amp;P -</oddFooter>
  </headerFooter>
  <legacyDrawing r:id="rId2"/>
</worksheet>
</file>

<file path=xl/worksheets/sheet10.xml><?xml version="1.0" encoding="utf-8"?>
<worksheet xmlns="http://schemas.openxmlformats.org/spreadsheetml/2006/main" xmlns:r="http://schemas.openxmlformats.org/officeDocument/2006/relationships">
  <dimension ref="A1:K9"/>
  <sheetViews>
    <sheetView showGridLines="0" workbookViewId="0" topLeftCell="A1">
      <selection activeCell="D40" sqref="D40:R40"/>
    </sheetView>
  </sheetViews>
  <sheetFormatPr defaultColWidth="9.140625" defaultRowHeight="12.75"/>
  <cols>
    <col min="1" max="1" width="38.00390625" style="77" customWidth="1"/>
    <col min="2" max="2" width="35.28125" style="77" customWidth="1"/>
    <col min="3" max="16384" width="8.00390625" style="77" customWidth="1"/>
  </cols>
  <sheetData>
    <row r="1" spans="1:11" ht="12.75">
      <c r="A1" s="77" t="s">
        <v>129</v>
      </c>
      <c r="B1" s="127" t="s">
        <v>130</v>
      </c>
      <c r="C1" s="127"/>
      <c r="D1" s="127"/>
      <c r="E1" s="127"/>
      <c r="F1" s="127"/>
      <c r="G1" s="127"/>
      <c r="H1" s="127"/>
      <c r="I1" s="127"/>
      <c r="J1" s="127"/>
      <c r="K1" s="127"/>
    </row>
    <row r="2" spans="2:11" ht="12.75">
      <c r="B2" s="74"/>
      <c r="C2" s="74"/>
      <c r="D2" s="74"/>
      <c r="E2" s="74"/>
      <c r="F2" s="74"/>
      <c r="G2" s="75"/>
      <c r="H2" s="74"/>
      <c r="I2" s="74"/>
      <c r="J2" s="75"/>
      <c r="K2" s="76"/>
    </row>
    <row r="3" spans="1:11" ht="12.75">
      <c r="A3" s="77" t="s">
        <v>133</v>
      </c>
      <c r="B3" s="76" t="s">
        <v>326</v>
      </c>
      <c r="C3" s="74"/>
      <c r="D3" s="74"/>
      <c r="E3" s="74"/>
      <c r="F3" s="74"/>
      <c r="G3" s="75"/>
      <c r="H3" s="74"/>
      <c r="I3" s="74"/>
      <c r="J3" s="75"/>
      <c r="K3" s="76"/>
    </row>
    <row r="4" spans="2:11" ht="12.75">
      <c r="B4" s="76" t="s">
        <v>327</v>
      </c>
      <c r="C4" s="74"/>
      <c r="D4" s="74"/>
      <c r="E4" s="74"/>
      <c r="F4" s="74"/>
      <c r="G4" s="75"/>
      <c r="H4" s="74"/>
      <c r="I4" s="74"/>
      <c r="J4" s="75"/>
      <c r="K4" s="76"/>
    </row>
    <row r="5" spans="2:11" ht="12.75">
      <c r="B5" s="76"/>
      <c r="C5" s="74"/>
      <c r="D5" s="74"/>
      <c r="E5" s="74"/>
      <c r="F5" s="74"/>
      <c r="G5" s="75"/>
      <c r="H5" s="74"/>
      <c r="I5" s="74"/>
      <c r="J5" s="75"/>
      <c r="K5" s="76"/>
    </row>
    <row r="6" spans="1:11" ht="12.75">
      <c r="A6" s="77" t="s">
        <v>132</v>
      </c>
      <c r="B6" s="76">
        <v>9</v>
      </c>
      <c r="C6" s="74"/>
      <c r="D6" s="74"/>
      <c r="E6" s="74"/>
      <c r="F6" s="74"/>
      <c r="G6" s="75"/>
      <c r="H6" s="74"/>
      <c r="I6" s="74"/>
      <c r="J6" s="75"/>
      <c r="K6" s="76"/>
    </row>
    <row r="7" spans="2:11" ht="12.75">
      <c r="B7" s="76" t="s">
        <v>328</v>
      </c>
      <c r="C7" s="74"/>
      <c r="D7" s="74"/>
      <c r="E7" s="74"/>
      <c r="F7" s="74"/>
      <c r="G7" s="75"/>
      <c r="H7" s="74"/>
      <c r="I7" s="74"/>
      <c r="J7" s="75"/>
      <c r="K7" s="76"/>
    </row>
    <row r="9" spans="1:2" ht="12.75">
      <c r="A9" s="77" t="s">
        <v>131</v>
      </c>
      <c r="B9" s="78">
        <v>37711</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workbookViewId="0" topLeftCell="A1">
      <selection activeCell="A1" sqref="A1:H1"/>
    </sheetView>
  </sheetViews>
  <sheetFormatPr defaultColWidth="9.140625" defaultRowHeight="12.75"/>
  <cols>
    <col min="1" max="1" width="44.00390625" style="1" customWidth="1"/>
    <col min="2" max="2" width="14.57421875" style="19" customWidth="1"/>
    <col min="3" max="3" width="0.13671875" style="1" hidden="1" customWidth="1"/>
    <col min="4" max="4" width="2.57421875" style="1" customWidth="1"/>
    <col min="5" max="5" width="15.00390625" style="1" customWidth="1"/>
    <col min="6" max="6" width="0.13671875" style="1" hidden="1" customWidth="1"/>
    <col min="7" max="7" width="9.421875" style="1" customWidth="1"/>
    <col min="8" max="8" width="7.7109375" style="1" customWidth="1"/>
    <col min="9" max="16384" width="9.140625" style="1" customWidth="1"/>
  </cols>
  <sheetData>
    <row r="1" spans="1:12" ht="19.5" customHeight="1">
      <c r="A1" s="361" t="s">
        <v>94</v>
      </c>
      <c r="B1" s="361"/>
      <c r="C1" s="361"/>
      <c r="D1" s="361"/>
      <c r="E1" s="361"/>
      <c r="F1" s="361"/>
      <c r="G1" s="361"/>
      <c r="H1" s="361"/>
      <c r="I1" s="7"/>
      <c r="J1" s="7"/>
      <c r="K1" s="7"/>
      <c r="L1" s="7"/>
    </row>
    <row r="2" spans="1:12" ht="12.75">
      <c r="A2" s="363" t="s">
        <v>5</v>
      </c>
      <c r="B2" s="363"/>
      <c r="C2" s="363"/>
      <c r="D2" s="363"/>
      <c r="E2" s="363"/>
      <c r="F2" s="363"/>
      <c r="G2" s="363"/>
      <c r="H2" s="363"/>
      <c r="I2" s="41"/>
      <c r="J2" s="8"/>
      <c r="K2" s="8"/>
      <c r="L2" s="8"/>
    </row>
    <row r="3" ht="7.5" customHeight="1">
      <c r="I3" s="3"/>
    </row>
    <row r="4" spans="1:9" ht="14.25">
      <c r="A4" s="9" t="str">
        <f>'IS'!A4</f>
        <v>Interim report for the financial period ended 31 March 2003</v>
      </c>
      <c r="I4" s="3"/>
    </row>
    <row r="5" spans="1:9" ht="12.75">
      <c r="A5" s="10" t="s">
        <v>125</v>
      </c>
      <c r="I5" s="3"/>
    </row>
    <row r="6" spans="1:8" s="2" customFormat="1" ht="21" customHeight="1">
      <c r="A6" s="13"/>
      <c r="B6" s="89"/>
      <c r="C6" s="42"/>
      <c r="D6" s="13"/>
      <c r="E6" s="13"/>
      <c r="F6" s="13"/>
      <c r="G6" s="13"/>
      <c r="H6" s="4"/>
    </row>
    <row r="7" ht="12.75">
      <c r="A7" s="3" t="s">
        <v>173</v>
      </c>
    </row>
    <row r="8" ht="3" customHeight="1"/>
    <row r="9" spans="2:6" s="29" customFormat="1" ht="49.5" customHeight="1">
      <c r="B9" s="81" t="s">
        <v>12</v>
      </c>
      <c r="C9" s="30" t="s">
        <v>9</v>
      </c>
      <c r="D9" s="31"/>
      <c r="E9" s="30" t="s">
        <v>13</v>
      </c>
      <c r="F9" s="43" t="s">
        <v>10</v>
      </c>
    </row>
    <row r="10" spans="2:6" s="29" customFormat="1" ht="12">
      <c r="B10" s="82">
        <f>Sheet1!B9</f>
        <v>37711</v>
      </c>
      <c r="C10" s="44">
        <v>36433</v>
      </c>
      <c r="D10" s="31"/>
      <c r="E10" s="44">
        <v>37437</v>
      </c>
      <c r="F10" s="45">
        <v>36433</v>
      </c>
    </row>
    <row r="11" spans="2:6" s="29" customFormat="1" ht="12">
      <c r="B11" s="83" t="s">
        <v>7</v>
      </c>
      <c r="C11" s="31" t="s">
        <v>7</v>
      </c>
      <c r="D11" s="31"/>
      <c r="E11" s="31" t="s">
        <v>7</v>
      </c>
      <c r="F11" s="28" t="s">
        <v>7</v>
      </c>
    </row>
    <row r="12" spans="2:6" s="29" customFormat="1" ht="12">
      <c r="B12" s="90"/>
      <c r="C12" s="31"/>
      <c r="D12" s="31"/>
      <c r="E12" s="72" t="s">
        <v>258</v>
      </c>
      <c r="F12" s="28"/>
    </row>
    <row r="13" s="29" customFormat="1" ht="5.25" customHeight="1">
      <c r="B13" s="85"/>
    </row>
    <row r="14" spans="1:5" s="29" customFormat="1" ht="12">
      <c r="A14" s="47" t="s">
        <v>138</v>
      </c>
      <c r="B14" s="84">
        <f>'[1]BS'!$C10</f>
        <v>3738497</v>
      </c>
      <c r="C14" s="34"/>
      <c r="D14" s="34"/>
      <c r="E14" s="179">
        <f>2671783-6373</f>
        <v>2665410</v>
      </c>
    </row>
    <row r="15" spans="1:5" s="29" customFormat="1" ht="12">
      <c r="A15" s="47" t="s">
        <v>142</v>
      </c>
      <c r="B15" s="84">
        <f>'[1]BS'!$C12</f>
        <v>269960</v>
      </c>
      <c r="C15" s="34"/>
      <c r="D15" s="34"/>
      <c r="E15" s="179">
        <v>258463</v>
      </c>
    </row>
    <row r="16" spans="1:5" s="29" customFormat="1" ht="12">
      <c r="A16" s="47" t="s">
        <v>101</v>
      </c>
      <c r="B16" s="84">
        <f>'[1]BS'!$C14</f>
        <v>522517</v>
      </c>
      <c r="C16" s="34"/>
      <c r="D16" s="34"/>
      <c r="E16" s="179">
        <v>522456</v>
      </c>
    </row>
    <row r="17" spans="1:5" s="29" customFormat="1" ht="12">
      <c r="A17" s="47" t="s">
        <v>121</v>
      </c>
      <c r="B17" s="84">
        <f>'[1]BS'!$C13</f>
        <v>20140</v>
      </c>
      <c r="C17" s="34"/>
      <c r="D17" s="34"/>
      <c r="E17" s="179">
        <v>18191</v>
      </c>
    </row>
    <row r="18" spans="1:5" s="29" customFormat="1" ht="12">
      <c r="A18" s="47" t="s">
        <v>102</v>
      </c>
      <c r="B18" s="84">
        <f>'[1]BS'!$C15</f>
        <v>658554</v>
      </c>
      <c r="C18" s="34"/>
      <c r="D18" s="34"/>
      <c r="E18" s="179">
        <v>660074</v>
      </c>
    </row>
    <row r="19" spans="1:5" s="29" customFormat="1" ht="12">
      <c r="A19" s="47" t="s">
        <v>209</v>
      </c>
      <c r="B19" s="84">
        <f>'[1]BS'!$C$17</f>
        <v>8817</v>
      </c>
      <c r="C19" s="34"/>
      <c r="D19" s="34"/>
      <c r="E19" s="179">
        <v>21068</v>
      </c>
    </row>
    <row r="20" spans="1:5" s="29" customFormat="1" ht="12">
      <c r="A20" s="47" t="s">
        <v>118</v>
      </c>
      <c r="B20" s="84">
        <f>'[1]BS'!$C$18</f>
        <v>468681</v>
      </c>
      <c r="C20" s="34"/>
      <c r="D20" s="34"/>
      <c r="E20" s="179">
        <v>179628</v>
      </c>
    </row>
    <row r="21" spans="1:5" s="29" customFormat="1" ht="12">
      <c r="A21" s="47" t="s">
        <v>103</v>
      </c>
      <c r="B21" s="84"/>
      <c r="C21" s="34"/>
      <c r="D21" s="34"/>
      <c r="E21" s="34"/>
    </row>
    <row r="22" spans="1:5" s="29" customFormat="1" ht="12">
      <c r="A22" s="46" t="s">
        <v>104</v>
      </c>
      <c r="B22" s="91">
        <f>'[1]BS'!$C21</f>
        <v>299366</v>
      </c>
      <c r="C22" s="34"/>
      <c r="D22" s="34"/>
      <c r="E22" s="180">
        <v>302894</v>
      </c>
    </row>
    <row r="23" spans="1:5" s="29" customFormat="1" ht="12">
      <c r="A23" s="46" t="s">
        <v>140</v>
      </c>
      <c r="B23" s="92">
        <f>'[1]BS'!$C22</f>
        <v>428356</v>
      </c>
      <c r="C23" s="34"/>
      <c r="D23" s="34"/>
      <c r="E23" s="181">
        <v>123382</v>
      </c>
    </row>
    <row r="24" spans="1:5" s="29" customFormat="1" ht="12">
      <c r="A24" s="46" t="s">
        <v>282</v>
      </c>
      <c r="B24" s="92">
        <f>SUM('[1]BS'!$C$23:$C$26)+1700</f>
        <v>607950</v>
      </c>
      <c r="C24" s="34"/>
      <c r="D24" s="34"/>
      <c r="E24" s="181">
        <f>318045+5539+10187</f>
        <v>333771</v>
      </c>
    </row>
    <row r="25" spans="1:5" s="29" customFormat="1" ht="12">
      <c r="A25" s="46" t="s">
        <v>139</v>
      </c>
      <c r="B25" s="92">
        <f>'[1]BS'!$C$27</f>
        <v>2064</v>
      </c>
      <c r="C25" s="34"/>
      <c r="D25" s="34"/>
      <c r="E25" s="181">
        <v>25562</v>
      </c>
    </row>
    <row r="26" spans="1:5" s="29" customFormat="1" ht="12">
      <c r="A26" s="46" t="s">
        <v>165</v>
      </c>
      <c r="B26" s="92">
        <f>'[1]BS'!$C$28</f>
        <v>15649</v>
      </c>
      <c r="C26" s="34"/>
      <c r="D26" s="34"/>
      <c r="E26" s="181">
        <v>61641</v>
      </c>
    </row>
    <row r="27" spans="1:5" s="29" customFormat="1" ht="12">
      <c r="A27" s="46" t="s">
        <v>105</v>
      </c>
      <c r="B27" s="92">
        <f>'[1]BS'!$C$29</f>
        <v>608740</v>
      </c>
      <c r="C27" s="34"/>
      <c r="D27" s="34"/>
      <c r="E27" s="181">
        <v>216632</v>
      </c>
    </row>
    <row r="28" spans="1:5" s="29" customFormat="1" ht="12">
      <c r="A28" s="46" t="s">
        <v>106</v>
      </c>
      <c r="B28" s="92">
        <f>'[1]BS'!$C$30</f>
        <v>291019</v>
      </c>
      <c r="C28" s="34"/>
      <c r="D28" s="34"/>
      <c r="E28" s="181">
        <v>201853</v>
      </c>
    </row>
    <row r="29" spans="2:5" s="29" customFormat="1" ht="12">
      <c r="B29" s="93">
        <f>SUM(B22:B28)</f>
        <v>2253144</v>
      </c>
      <c r="C29" s="34"/>
      <c r="D29" s="34"/>
      <c r="E29" s="109">
        <f>SUM(E22:E28)</f>
        <v>1265735</v>
      </c>
    </row>
    <row r="30" spans="1:5" s="29" customFormat="1" ht="12">
      <c r="A30" s="47" t="s">
        <v>107</v>
      </c>
      <c r="B30" s="92"/>
      <c r="C30" s="34"/>
      <c r="D30" s="34"/>
      <c r="E30" s="48"/>
    </row>
    <row r="31" spans="1:5" s="29" customFormat="1" ht="12">
      <c r="A31" s="46" t="s">
        <v>283</v>
      </c>
      <c r="B31" s="92">
        <f>SUM('[1]BS'!$C$33:$C$36)</f>
        <v>565671</v>
      </c>
      <c r="C31" s="34"/>
      <c r="D31" s="34"/>
      <c r="E31" s="181">
        <f>381595+2739</f>
        <v>384334</v>
      </c>
    </row>
    <row r="32" spans="1:5" s="29" customFormat="1" ht="12">
      <c r="A32" s="46" t="s">
        <v>108</v>
      </c>
      <c r="B32" s="92">
        <f>'[1]BS'!$C$37</f>
        <v>13929</v>
      </c>
      <c r="C32" s="34"/>
      <c r="D32" s="34"/>
      <c r="E32" s="181">
        <v>27600</v>
      </c>
    </row>
    <row r="33" spans="1:5" s="29" customFormat="1" ht="12">
      <c r="A33" s="46" t="s">
        <v>109</v>
      </c>
      <c r="B33" s="92">
        <f>'[1]BS'!$C$38</f>
        <v>1800597</v>
      </c>
      <c r="C33" s="34"/>
      <c r="D33" s="34"/>
      <c r="E33" s="181">
        <v>680416</v>
      </c>
    </row>
    <row r="34" spans="1:5" s="29" customFormat="1" ht="12">
      <c r="A34" s="46" t="s">
        <v>110</v>
      </c>
      <c r="B34" s="92">
        <f>'[1]BS'!$C$39+1700</f>
        <v>18071</v>
      </c>
      <c r="C34" s="34"/>
      <c r="D34" s="34"/>
      <c r="E34" s="181">
        <v>41181</v>
      </c>
    </row>
    <row r="35" spans="2:5" s="29" customFormat="1" ht="12">
      <c r="B35" s="93">
        <f>SUM(B31:B34)</f>
        <v>2398268</v>
      </c>
      <c r="C35" s="34"/>
      <c r="D35" s="34"/>
      <c r="E35" s="113">
        <f>SUM(E31:E34)</f>
        <v>1133531</v>
      </c>
    </row>
    <row r="36" spans="1:5" s="29" customFormat="1" ht="12">
      <c r="A36" s="47" t="s">
        <v>306</v>
      </c>
      <c r="B36" s="94">
        <f>B29-B35</f>
        <v>-145124</v>
      </c>
      <c r="C36" s="34"/>
      <c r="D36" s="34"/>
      <c r="E36" s="110">
        <f>E29-E35</f>
        <v>132204</v>
      </c>
    </row>
    <row r="37" spans="2:5" s="29" customFormat="1" ht="12.75" thickBot="1">
      <c r="B37" s="95">
        <f>SUM(B14:B20)+B36</f>
        <v>5542042</v>
      </c>
      <c r="C37" s="34"/>
      <c r="D37" s="34"/>
      <c r="E37" s="111">
        <f>SUM(E14:E20)+E36</f>
        <v>4457494</v>
      </c>
    </row>
    <row r="38" spans="2:5" s="29" customFormat="1" ht="12">
      <c r="B38" s="84"/>
      <c r="C38" s="34"/>
      <c r="D38" s="34"/>
      <c r="E38" s="34"/>
    </row>
    <row r="39" spans="1:5" s="29" customFormat="1" ht="12">
      <c r="A39" s="185" t="s">
        <v>111</v>
      </c>
      <c r="B39" s="84">
        <f>'[1]BS'!$C$44</f>
        <v>527960</v>
      </c>
      <c r="C39" s="34"/>
      <c r="D39" s="34"/>
      <c r="E39" s="179">
        <v>447988</v>
      </c>
    </row>
    <row r="40" spans="1:5" s="29" customFormat="1" ht="12">
      <c r="A40" s="185" t="s">
        <v>14</v>
      </c>
      <c r="B40" s="84">
        <f>SUM('[1]BS'!$C$45:$C$52)</f>
        <v>2936490</v>
      </c>
      <c r="C40" s="34"/>
      <c r="D40" s="34"/>
      <c r="E40" s="179">
        <v>2443931</v>
      </c>
    </row>
    <row r="41" spans="1:7" s="29" customFormat="1" ht="12">
      <c r="A41" s="47" t="s">
        <v>141</v>
      </c>
      <c r="B41" s="183">
        <f>SUM(B39:B40)</f>
        <v>3464450</v>
      </c>
      <c r="C41" s="34"/>
      <c r="D41" s="34"/>
      <c r="E41" s="184">
        <f>SUM(E39:E40)</f>
        <v>2891919</v>
      </c>
      <c r="G41" s="114"/>
    </row>
    <row r="42" spans="1:5" s="29" customFormat="1" ht="12">
      <c r="A42" s="47" t="s">
        <v>115</v>
      </c>
      <c r="B42" s="84">
        <f>'[1]BS'!$C$54</f>
        <v>1149618</v>
      </c>
      <c r="C42" s="34"/>
      <c r="D42" s="34"/>
      <c r="E42" s="179">
        <v>928336</v>
      </c>
    </row>
    <row r="43" spans="1:5" s="29" customFormat="1" ht="12">
      <c r="A43" s="47" t="s">
        <v>116</v>
      </c>
      <c r="B43" s="84">
        <f>'[1]BS'!$C$55</f>
        <v>568976</v>
      </c>
      <c r="C43" s="34"/>
      <c r="D43" s="34"/>
      <c r="E43" s="179">
        <v>411968</v>
      </c>
    </row>
    <row r="44" spans="1:5" s="29" customFormat="1" ht="12">
      <c r="A44" s="47" t="s">
        <v>117</v>
      </c>
      <c r="B44" s="84">
        <f>'[1]BS'!$C$56</f>
        <v>70672</v>
      </c>
      <c r="C44" s="34"/>
      <c r="D44" s="34"/>
      <c r="E44" s="179">
        <v>21283</v>
      </c>
    </row>
    <row r="45" spans="1:5" s="29" customFormat="1" ht="12">
      <c r="A45" s="47" t="s">
        <v>267</v>
      </c>
      <c r="B45" s="84">
        <f>'[1]BS'!$C$57</f>
        <v>288326</v>
      </c>
      <c r="C45" s="34"/>
      <c r="D45" s="34"/>
      <c r="E45" s="179">
        <f>115253+69224+19511</f>
        <v>203988</v>
      </c>
    </row>
    <row r="46" spans="2:7" s="29" customFormat="1" ht="12.75" thickBot="1">
      <c r="B46" s="95">
        <f>SUM(B41:B45)</f>
        <v>5542042</v>
      </c>
      <c r="C46" s="34"/>
      <c r="D46" s="34"/>
      <c r="E46" s="111">
        <f>SUM(E41:E45)</f>
        <v>4457494</v>
      </c>
      <c r="G46" s="114"/>
    </row>
    <row r="47" spans="2:5" s="29" customFormat="1" ht="5.25" customHeight="1">
      <c r="B47" s="84"/>
      <c r="C47" s="34"/>
      <c r="D47" s="34"/>
      <c r="E47" s="34"/>
    </row>
    <row r="48" s="29" customFormat="1" ht="12"/>
    <row r="49" spans="1:5" ht="12.75">
      <c r="A49" s="47" t="s">
        <v>11</v>
      </c>
      <c r="B49" s="70">
        <f>(B41-B20-'[1]Assoc'!$C$39)/((B39*2)-25459)</f>
        <v>2.946280354132762</v>
      </c>
      <c r="C49" s="34"/>
      <c r="D49" s="34"/>
      <c r="E49" s="182">
        <v>3.12</v>
      </c>
    </row>
    <row r="51" spans="2:5" ht="12.75">
      <c r="B51" s="20"/>
      <c r="C51" s="6"/>
      <c r="D51" s="6"/>
      <c r="E51" s="6"/>
    </row>
    <row r="52" spans="1:7" ht="12.75">
      <c r="A52" s="362" t="s">
        <v>257</v>
      </c>
      <c r="B52" s="362"/>
      <c r="C52" s="362"/>
      <c r="D52" s="362"/>
      <c r="E52" s="362"/>
      <c r="F52" s="362"/>
      <c r="G52" s="362"/>
    </row>
    <row r="53" spans="1:8" ht="24.75" customHeight="1">
      <c r="A53" s="362"/>
      <c r="B53" s="362"/>
      <c r="C53" s="362"/>
      <c r="D53" s="362"/>
      <c r="E53" s="362"/>
      <c r="F53" s="362"/>
      <c r="G53" s="362"/>
      <c r="H53" s="192"/>
    </row>
    <row r="54" spans="2:5" ht="12.75">
      <c r="B54" s="20"/>
      <c r="C54" s="6"/>
      <c r="D54" s="6"/>
      <c r="E54" s="6"/>
    </row>
    <row r="55" spans="2:5" ht="12.75">
      <c r="B55" s="20"/>
      <c r="C55" s="6"/>
      <c r="D55" s="6"/>
      <c r="E55" s="6"/>
    </row>
    <row r="56" ht="27" customHeight="1">
      <c r="H56" s="192"/>
    </row>
    <row r="57" spans="2:5" ht="12.75">
      <c r="B57" s="20"/>
      <c r="C57" s="6"/>
      <c r="D57" s="6"/>
      <c r="E57" s="6"/>
    </row>
    <row r="58" ht="27" customHeight="1"/>
    <row r="59" spans="2:5" ht="12.75">
      <c r="B59" s="20"/>
      <c r="C59" s="6"/>
      <c r="D59" s="6"/>
      <c r="E59" s="6"/>
    </row>
    <row r="60" spans="2:5" ht="12.75">
      <c r="B60" s="20"/>
      <c r="C60" s="6"/>
      <c r="D60" s="6"/>
      <c r="E60" s="6"/>
    </row>
    <row r="61" spans="2:5" ht="12.75">
      <c r="B61" s="20"/>
      <c r="C61" s="6"/>
      <c r="D61" s="6"/>
      <c r="E61" s="6"/>
    </row>
    <row r="62" spans="2:5" ht="12.75">
      <c r="B62" s="20"/>
      <c r="C62" s="6"/>
      <c r="D62" s="6"/>
      <c r="E62" s="6"/>
    </row>
    <row r="63" spans="2:5" ht="12.75">
      <c r="B63" s="20"/>
      <c r="C63" s="6"/>
      <c r="D63" s="6"/>
      <c r="E63" s="6"/>
    </row>
    <row r="64" spans="2:5" ht="12.75">
      <c r="B64" s="20"/>
      <c r="C64" s="6"/>
      <c r="D64" s="6"/>
      <c r="E64" s="6"/>
    </row>
    <row r="65" spans="2:5" ht="12.75">
      <c r="B65" s="20"/>
      <c r="C65" s="6"/>
      <c r="D65" s="6"/>
      <c r="E65" s="6"/>
    </row>
    <row r="66" spans="2:5" ht="12.75">
      <c r="B66" s="20"/>
      <c r="C66" s="6"/>
      <c r="D66" s="6"/>
      <c r="E66" s="6"/>
    </row>
    <row r="67" spans="2:5" ht="12.75">
      <c r="B67" s="20"/>
      <c r="C67" s="6"/>
      <c r="D67" s="6"/>
      <c r="E67" s="6"/>
    </row>
    <row r="68" spans="2:5" ht="12.75">
      <c r="B68" s="20"/>
      <c r="C68" s="6"/>
      <c r="D68" s="6"/>
      <c r="E68" s="6"/>
    </row>
    <row r="69" spans="2:5" ht="12.75">
      <c r="B69" s="20"/>
      <c r="C69" s="6"/>
      <c r="D69" s="6"/>
      <c r="E69" s="6"/>
    </row>
    <row r="70" spans="2:5" ht="12.75">
      <c r="B70" s="20"/>
      <c r="C70" s="6"/>
      <c r="D70" s="6"/>
      <c r="E70" s="6"/>
    </row>
    <row r="71" spans="2:5" ht="12.75">
      <c r="B71" s="20"/>
      <c r="C71" s="6"/>
      <c r="D71" s="6"/>
      <c r="E71" s="6"/>
    </row>
    <row r="72" spans="2:5" ht="12.75">
      <c r="B72" s="20"/>
      <c r="C72" s="6"/>
      <c r="D72" s="6"/>
      <c r="E72" s="6"/>
    </row>
    <row r="73" spans="2:5" ht="12.75">
      <c r="B73" s="20"/>
      <c r="C73" s="6"/>
      <c r="D73" s="6"/>
      <c r="E73" s="6"/>
    </row>
    <row r="74" spans="2:5" ht="12.75">
      <c r="B74" s="20"/>
      <c r="C74" s="6"/>
      <c r="D74" s="6"/>
      <c r="E74" s="6"/>
    </row>
    <row r="75" spans="2:5" ht="12.75">
      <c r="B75" s="20"/>
      <c r="C75" s="6"/>
      <c r="D75" s="6"/>
      <c r="E75" s="6"/>
    </row>
    <row r="76" spans="2:5" ht="12.75">
      <c r="B76" s="20"/>
      <c r="C76" s="6"/>
      <c r="D76" s="6"/>
      <c r="E76" s="6"/>
    </row>
    <row r="77" spans="2:5" ht="12.75">
      <c r="B77" s="20"/>
      <c r="C77" s="6"/>
      <c r="D77" s="6"/>
      <c r="E77" s="6"/>
    </row>
    <row r="78" spans="2:5" ht="12.75">
      <c r="B78" s="20"/>
      <c r="C78" s="6"/>
      <c r="D78" s="6"/>
      <c r="E78" s="6"/>
    </row>
  </sheetData>
  <mergeCells count="3">
    <mergeCell ref="A1:H1"/>
    <mergeCell ref="A2:H2"/>
    <mergeCell ref="A52:G53"/>
  </mergeCells>
  <printOptions/>
  <pageMargins left="0.91" right="0.48" top="1.29" bottom="1.17" header="0.38" footer="1.1"/>
  <pageSetup horizontalDpi="300" verticalDpi="300" orientation="portrait" paperSize="9" scale="95" r:id="rId1"/>
  <headerFooter alignWithMargins="0">
    <oddFooter>&amp;C&amp;"Times New Roman,Regular"&amp;7- Page &amp;P+1 -</oddFooter>
  </headerFooter>
</worksheet>
</file>

<file path=xl/worksheets/sheet3.xml><?xml version="1.0" encoding="utf-8"?>
<worksheet xmlns="http://schemas.openxmlformats.org/spreadsheetml/2006/main" xmlns:r="http://schemas.openxmlformats.org/officeDocument/2006/relationships">
  <dimension ref="A1:H48"/>
  <sheetViews>
    <sheetView showGridLines="0" workbookViewId="0" topLeftCell="A1">
      <selection activeCell="A1" sqref="A1:E1"/>
    </sheetView>
  </sheetViews>
  <sheetFormatPr defaultColWidth="9.140625" defaultRowHeight="12.75"/>
  <cols>
    <col min="1" max="1" width="5.57421875" style="186" customWidth="1"/>
    <col min="2" max="2" width="46.57421875" style="186" customWidth="1"/>
    <col min="3" max="3" width="13.7109375" style="186" customWidth="1"/>
    <col min="4" max="6" width="8.00390625" style="186" customWidth="1"/>
    <col min="7" max="7" width="4.8515625" style="186" customWidth="1"/>
    <col min="8" max="16384" width="8.00390625" style="186" customWidth="1"/>
  </cols>
  <sheetData>
    <row r="1" spans="1:8" ht="18.75">
      <c r="A1" s="361" t="s">
        <v>93</v>
      </c>
      <c r="B1" s="361"/>
      <c r="C1" s="361"/>
      <c r="D1" s="361"/>
      <c r="E1" s="361"/>
      <c r="F1" s="7"/>
      <c r="G1" s="7"/>
      <c r="H1" s="7"/>
    </row>
    <row r="2" spans="1:8" ht="11.25">
      <c r="A2" s="41"/>
      <c r="B2" s="41"/>
      <c r="C2" s="41"/>
      <c r="D2" s="41"/>
      <c r="E2" s="41"/>
      <c r="F2" s="41"/>
      <c r="G2" s="41"/>
      <c r="H2" s="41"/>
    </row>
    <row r="3" spans="1:8" ht="12.75">
      <c r="A3" s="1"/>
      <c r="B3" s="1"/>
      <c r="C3" s="1"/>
      <c r="D3" s="19"/>
      <c r="E3" s="1"/>
      <c r="F3" s="1"/>
      <c r="G3" s="19"/>
      <c r="H3" s="3"/>
    </row>
    <row r="4" spans="1:8" ht="14.25">
      <c r="A4" s="9" t="str">
        <f>'IS'!A4</f>
        <v>Interim report for the financial period ended 31 March 2003</v>
      </c>
      <c r="B4" s="9"/>
      <c r="C4" s="1"/>
      <c r="D4" s="19"/>
      <c r="E4" s="1"/>
      <c r="F4" s="1"/>
      <c r="G4" s="19"/>
      <c r="H4" s="3"/>
    </row>
    <row r="5" spans="1:8" ht="12.75">
      <c r="A5" s="10" t="s">
        <v>125</v>
      </c>
      <c r="B5" s="10"/>
      <c r="C5" s="1"/>
      <c r="D5" s="19"/>
      <c r="E5" s="1"/>
      <c r="F5" s="1"/>
      <c r="G5" s="19"/>
      <c r="H5" s="3"/>
    </row>
    <row r="6" spans="1:8" ht="12.75">
      <c r="A6" s="2"/>
      <c r="B6" s="2"/>
      <c r="C6" s="2"/>
      <c r="D6" s="80"/>
      <c r="E6" s="2"/>
      <c r="F6" s="2"/>
      <c r="G6" s="80"/>
      <c r="H6" s="4"/>
    </row>
    <row r="7" spans="1:8" ht="12.75">
      <c r="A7" s="3" t="s">
        <v>179</v>
      </c>
      <c r="B7" s="3"/>
      <c r="C7" s="1"/>
      <c r="D7" s="19"/>
      <c r="E7" s="1"/>
      <c r="F7" s="1"/>
      <c r="G7" s="19"/>
      <c r="H7" s="1"/>
    </row>
    <row r="9" spans="1:3" s="227" customFormat="1" ht="24" customHeight="1">
      <c r="A9" s="226"/>
      <c r="B9" s="226"/>
      <c r="C9" s="100" t="str">
        <f>Sheet1!B6&amp;" Months Ended"</f>
        <v>9 Months Ended</v>
      </c>
    </row>
    <row r="10" spans="1:3" s="187" customFormat="1" ht="12">
      <c r="A10" s="47"/>
      <c r="B10" s="47"/>
      <c r="C10" s="82">
        <f>Sheet1!B9</f>
        <v>37711</v>
      </c>
    </row>
    <row r="11" spans="1:3" s="187" customFormat="1" ht="12">
      <c r="A11" s="47"/>
      <c r="B11" s="47"/>
      <c r="C11" s="83" t="s">
        <v>7</v>
      </c>
    </row>
    <row r="12" spans="1:3" s="187" customFormat="1" ht="12">
      <c r="A12" s="47"/>
      <c r="B12" s="47"/>
      <c r="C12" s="179"/>
    </row>
    <row r="13" spans="1:3" s="187" customFormat="1" ht="12">
      <c r="A13" s="47" t="s">
        <v>212</v>
      </c>
      <c r="B13" s="47"/>
      <c r="C13" s="179"/>
    </row>
    <row r="14" spans="1:3" s="187" customFormat="1" ht="12">
      <c r="A14" s="29" t="s">
        <v>159</v>
      </c>
      <c r="B14" s="29"/>
      <c r="C14" s="84">
        <f>'[7]Statement'!$B$6</f>
        <v>574024</v>
      </c>
    </row>
    <row r="15" spans="1:3" s="187" customFormat="1" ht="12">
      <c r="A15" s="29" t="s">
        <v>259</v>
      </c>
      <c r="B15" s="29"/>
      <c r="C15" s="84">
        <f>SUM('[7]Statement'!$B$9:$B$26)</f>
        <v>126859</v>
      </c>
    </row>
    <row r="16" spans="1:4" s="187" customFormat="1" ht="12">
      <c r="A16" s="29" t="s">
        <v>174</v>
      </c>
      <c r="B16" s="29"/>
      <c r="C16" s="183">
        <f>SUM(C14:C15)</f>
        <v>700883</v>
      </c>
      <c r="D16" s="189"/>
    </row>
    <row r="17" spans="1:4" s="187" customFormat="1" ht="12">
      <c r="A17" s="29" t="s">
        <v>260</v>
      </c>
      <c r="B17" s="29"/>
      <c r="C17" s="96">
        <f>SUM('[7]Statement'!$B$28:$B$35)</f>
        <v>-100747</v>
      </c>
      <c r="D17" s="189"/>
    </row>
    <row r="18" spans="1:3" s="187" customFormat="1" ht="12">
      <c r="A18" s="190" t="s">
        <v>175</v>
      </c>
      <c r="B18" s="190"/>
      <c r="C18" s="183">
        <f>SUM(C16:C17)</f>
        <v>600136</v>
      </c>
    </row>
    <row r="19" spans="1:3" s="187" customFormat="1" ht="12">
      <c r="A19" s="190" t="s">
        <v>180</v>
      </c>
      <c r="B19" s="190"/>
      <c r="C19" s="84">
        <f>SUM('[7]Statement'!$B$37:$B$38)</f>
        <v>-56</v>
      </c>
    </row>
    <row r="20" spans="1:3" s="187" customFormat="1" ht="12">
      <c r="A20" s="190" t="s">
        <v>213</v>
      </c>
      <c r="B20" s="190"/>
      <c r="C20" s="84">
        <f>'[7]Statement'!$B$39</f>
        <v>-97982</v>
      </c>
    </row>
    <row r="21" spans="1:3" s="187" customFormat="1" ht="12.75" thickBot="1">
      <c r="A21" s="185" t="s">
        <v>310</v>
      </c>
      <c r="B21" s="185"/>
      <c r="C21" s="95">
        <f>SUM(C18:C20)</f>
        <v>502098</v>
      </c>
    </row>
    <row r="22" spans="1:3" s="187" customFormat="1" ht="12">
      <c r="A22" s="29"/>
      <c r="B22" s="29"/>
      <c r="C22" s="84"/>
    </row>
    <row r="23" spans="1:3" s="187" customFormat="1" ht="12">
      <c r="A23" s="47" t="s">
        <v>184</v>
      </c>
      <c r="B23" s="47"/>
      <c r="C23" s="84"/>
    </row>
    <row r="24" spans="1:3" s="187" customFormat="1" ht="12">
      <c r="A24" s="190" t="s">
        <v>181</v>
      </c>
      <c r="B24" s="188"/>
      <c r="C24" s="84">
        <f>'[7]Statement'!$B$58</f>
        <v>-1403409</v>
      </c>
    </row>
    <row r="25" spans="1:3" s="187" customFormat="1" ht="12">
      <c r="A25" s="190" t="s">
        <v>265</v>
      </c>
      <c r="B25" s="188"/>
      <c r="C25" s="84">
        <f>'[7]Statement'!$B$62+'[7]Statement'!$B$66</f>
        <v>-129235</v>
      </c>
    </row>
    <row r="26" spans="1:3" s="187" customFormat="1" ht="12">
      <c r="A26" s="190" t="s">
        <v>182</v>
      </c>
      <c r="B26" s="188"/>
      <c r="C26" s="84">
        <f>'[7]Statement'!$B$61+'[7]Statement'!$B$63+'[7]Statement'!$B$64+'[7]Statement'!$B$65</f>
        <v>-27225</v>
      </c>
    </row>
    <row r="27" spans="1:3" s="187" customFormat="1" ht="12.75" thickBot="1">
      <c r="A27" s="185" t="s">
        <v>311</v>
      </c>
      <c r="B27" s="47"/>
      <c r="C27" s="95">
        <f>SUM(C24:C26)</f>
        <v>-1559869</v>
      </c>
    </row>
    <row r="28" spans="1:3" s="187" customFormat="1" ht="12">
      <c r="A28" s="29"/>
      <c r="B28" s="29"/>
      <c r="C28" s="84"/>
    </row>
    <row r="29" spans="1:3" s="187" customFormat="1" ht="12">
      <c r="A29" s="47" t="s">
        <v>185</v>
      </c>
      <c r="B29" s="47"/>
      <c r="C29" s="84"/>
    </row>
    <row r="30" spans="1:3" s="187" customFormat="1" ht="12">
      <c r="A30" s="29" t="s">
        <v>290</v>
      </c>
      <c r="B30" s="47"/>
      <c r="C30" s="84">
        <f>'[7]Statement'!$B$80</f>
        <v>-59907</v>
      </c>
    </row>
    <row r="31" spans="1:3" s="187" customFormat="1" ht="12">
      <c r="A31" s="29" t="s">
        <v>291</v>
      </c>
      <c r="B31" s="29"/>
      <c r="C31" s="84">
        <f>'[7]Statement'!$B$77</f>
        <v>-34904</v>
      </c>
    </row>
    <row r="32" spans="1:3" s="187" customFormat="1" ht="12">
      <c r="A32" s="29" t="s">
        <v>288</v>
      </c>
      <c r="B32" s="29"/>
      <c r="C32" s="84">
        <f>'[7]Statement'!$B$73+'[7]Statement'!$B$78</f>
        <v>464563</v>
      </c>
    </row>
    <row r="33" spans="1:3" s="187" customFormat="1" ht="12">
      <c r="A33" s="29" t="s">
        <v>341</v>
      </c>
      <c r="B33" s="29"/>
      <c r="C33" s="84">
        <f>'[7]Statement'!$B$76+'[7]Statement'!$B$75</f>
        <v>-218</v>
      </c>
    </row>
    <row r="34" spans="1:3" s="187" customFormat="1" ht="12">
      <c r="A34" s="29" t="s">
        <v>183</v>
      </c>
      <c r="B34" s="29"/>
      <c r="C34" s="84">
        <f>'[7]Statement'!$B$72+'[7]Statement'!$B$74+'[7]Statement'!$B$79+'[7]Statement'!$B$81</f>
        <v>1137190</v>
      </c>
    </row>
    <row r="35" spans="1:3" s="187" customFormat="1" ht="12.75" thickBot="1">
      <c r="A35" s="185" t="s">
        <v>312</v>
      </c>
      <c r="B35" s="47"/>
      <c r="C35" s="95">
        <f>SUM(C30:C34)</f>
        <v>1506724</v>
      </c>
    </row>
    <row r="36" spans="1:3" s="187" customFormat="1" ht="12">
      <c r="A36" s="29"/>
      <c r="B36" s="29"/>
      <c r="C36" s="84"/>
    </row>
    <row r="37" spans="1:3" s="187" customFormat="1" ht="12">
      <c r="A37" s="47" t="s">
        <v>176</v>
      </c>
      <c r="B37" s="47"/>
      <c r="C37" s="84">
        <f>C21+C27+C35</f>
        <v>448953</v>
      </c>
    </row>
    <row r="38" spans="1:3" s="187" customFormat="1" ht="12">
      <c r="A38" s="47" t="s">
        <v>177</v>
      </c>
      <c r="B38" s="47"/>
      <c r="C38" s="84">
        <f>'[7]Statement'!$B$85</f>
        <v>451526</v>
      </c>
    </row>
    <row r="39" spans="1:3" s="187" customFormat="1" ht="12">
      <c r="A39" s="47" t="s">
        <v>317</v>
      </c>
      <c r="B39" s="47"/>
      <c r="C39" s="84">
        <v>0</v>
      </c>
    </row>
    <row r="40" spans="1:3" s="187" customFormat="1" ht="12.75" thickBot="1">
      <c r="A40" s="47" t="s">
        <v>178</v>
      </c>
      <c r="B40" s="47"/>
      <c r="C40" s="95">
        <f>SUM(C37:C39)</f>
        <v>900479</v>
      </c>
    </row>
    <row r="44" spans="1:2" ht="11.25">
      <c r="A44" s="191"/>
      <c r="B44" s="191"/>
    </row>
    <row r="45" spans="1:8" s="194" customFormat="1" ht="27.75" customHeight="1">
      <c r="A45" s="193" t="s">
        <v>186</v>
      </c>
      <c r="B45" s="365" t="s">
        <v>364</v>
      </c>
      <c r="C45" s="365"/>
      <c r="D45" s="365"/>
      <c r="E45" s="193"/>
      <c r="F45" s="193"/>
      <c r="G45" s="193"/>
      <c r="H45" s="193"/>
    </row>
    <row r="47" ht="26.25" customHeight="1"/>
    <row r="48" spans="1:7" ht="27.75" customHeight="1">
      <c r="A48" s="362" t="s">
        <v>257</v>
      </c>
      <c r="B48" s="362"/>
      <c r="C48" s="362"/>
      <c r="D48" s="362"/>
      <c r="E48" s="192"/>
      <c r="F48" s="192"/>
      <c r="G48" s="192"/>
    </row>
  </sheetData>
  <mergeCells count="3">
    <mergeCell ref="B45:D45"/>
    <mergeCell ref="A48:D48"/>
    <mergeCell ref="A1:E1"/>
  </mergeCells>
  <printOptions/>
  <pageMargins left="0.91" right="0.38" top="1.29" bottom="1.17" header="0.38" footer="1.1"/>
  <pageSetup horizontalDpi="300" verticalDpi="300" orientation="portrait" paperSize="9" r:id="rId1"/>
  <headerFooter alignWithMargins="0">
    <oddFooter>&amp;C&amp;"Times New Roman,Regular"&amp;7- Page &amp;P+2 -&amp;R
</oddFooter>
  </headerFooter>
</worksheet>
</file>

<file path=xl/worksheets/sheet4.xml><?xml version="1.0" encoding="utf-8"?>
<worksheet xmlns="http://schemas.openxmlformats.org/spreadsheetml/2006/main" xmlns:r="http://schemas.openxmlformats.org/officeDocument/2006/relationships">
  <dimension ref="A1:L39"/>
  <sheetViews>
    <sheetView showGridLines="0" workbookViewId="0" topLeftCell="A1">
      <selection activeCell="A1" sqref="A1:K1"/>
    </sheetView>
  </sheetViews>
  <sheetFormatPr defaultColWidth="9.140625" defaultRowHeight="12.75"/>
  <cols>
    <col min="1" max="1" width="4.8515625" style="186" customWidth="1"/>
    <col min="2" max="2" width="12.00390625" style="186" customWidth="1"/>
    <col min="3" max="3" width="7.421875" style="186" customWidth="1"/>
    <col min="4" max="4" width="8.7109375" style="186" customWidth="1"/>
    <col min="5" max="5" width="9.00390625" style="186" customWidth="1"/>
    <col min="6" max="6" width="7.8515625" style="186" customWidth="1"/>
    <col min="7" max="7" width="9.00390625" style="186" customWidth="1"/>
    <col min="8" max="8" width="10.8515625" style="186" customWidth="1"/>
    <col min="9" max="9" width="8.7109375" style="186" customWidth="1"/>
    <col min="10" max="10" width="7.8515625" style="186" customWidth="1"/>
    <col min="11" max="11" width="8.7109375" style="186" customWidth="1"/>
    <col min="12" max="12" width="8.00390625" style="202" customWidth="1"/>
    <col min="13" max="16384" width="8.00390625" style="186" customWidth="1"/>
  </cols>
  <sheetData>
    <row r="1" spans="1:12" s="1" customFormat="1" ht="18.75">
      <c r="A1" s="361" t="s">
        <v>93</v>
      </c>
      <c r="B1" s="361"/>
      <c r="C1" s="361"/>
      <c r="D1" s="361"/>
      <c r="E1" s="361"/>
      <c r="F1" s="361"/>
      <c r="G1" s="361"/>
      <c r="H1" s="361"/>
      <c r="I1" s="361"/>
      <c r="J1" s="361"/>
      <c r="K1" s="361"/>
      <c r="L1" s="19"/>
    </row>
    <row r="2" spans="1:12" s="1" customFormat="1" ht="12.75">
      <c r="A2" s="363"/>
      <c r="B2" s="363"/>
      <c r="C2" s="363"/>
      <c r="D2" s="363"/>
      <c r="E2" s="363"/>
      <c r="F2" s="363"/>
      <c r="G2" s="363"/>
      <c r="H2" s="363"/>
      <c r="I2" s="8"/>
      <c r="J2" s="8"/>
      <c r="K2" s="8"/>
      <c r="L2" s="19"/>
    </row>
    <row r="3" spans="4:12" s="1" customFormat="1" ht="12.75">
      <c r="D3" s="19"/>
      <c r="G3" s="19"/>
      <c r="H3" s="3"/>
      <c r="L3" s="19"/>
    </row>
    <row r="4" spans="1:12" s="1" customFormat="1" ht="14.25">
      <c r="A4" s="9" t="str">
        <f>'IS'!A4</f>
        <v>Interim report for the financial period ended 31 March 2003</v>
      </c>
      <c r="B4" s="9"/>
      <c r="D4" s="19"/>
      <c r="G4" s="19"/>
      <c r="H4" s="3"/>
      <c r="L4" s="19"/>
    </row>
    <row r="5" spans="1:12" s="1" customFormat="1" ht="12.75">
      <c r="A5" s="10" t="s">
        <v>125</v>
      </c>
      <c r="B5" s="10"/>
      <c r="D5" s="19"/>
      <c r="G5" s="19"/>
      <c r="H5" s="3"/>
      <c r="L5" s="19"/>
    </row>
    <row r="6" spans="4:12" s="2" customFormat="1" ht="27" customHeight="1">
      <c r="D6" s="80"/>
      <c r="G6" s="80"/>
      <c r="H6" s="4"/>
      <c r="L6" s="80"/>
    </row>
    <row r="7" spans="1:12" s="1" customFormat="1" ht="12.75">
      <c r="A7" s="3" t="s">
        <v>189</v>
      </c>
      <c r="B7" s="3"/>
      <c r="D7" s="19"/>
      <c r="G7" s="19"/>
      <c r="L7" s="19"/>
    </row>
    <row r="8" ht="16.5" customHeight="1"/>
    <row r="9" spans="1:7" ht="16.5" customHeight="1">
      <c r="A9" s="9" t="str">
        <f>Sheet1!B7&amp;" Months Ended "&amp;TEXT(Sheet1!B9,"dd mmmm yyyy")</f>
        <v>Nine Months Ended 31 March 2003</v>
      </c>
      <c r="B9" s="3"/>
      <c r="G9" s="3"/>
    </row>
    <row r="10" spans="1:2" ht="16.5" customHeight="1">
      <c r="A10" s="3" t="s">
        <v>190</v>
      </c>
      <c r="B10" s="3"/>
    </row>
    <row r="11" spans="1:2" ht="16.5" customHeight="1">
      <c r="A11" s="82"/>
      <c r="B11" s="82"/>
    </row>
    <row r="12" spans="1:12" s="195" customFormat="1" ht="48.75" customHeight="1">
      <c r="A12" s="83"/>
      <c r="B12" s="83"/>
      <c r="C12" s="197" t="s">
        <v>111</v>
      </c>
      <c r="D12" s="197" t="s">
        <v>112</v>
      </c>
      <c r="E12" s="197" t="s">
        <v>298</v>
      </c>
      <c r="F12" s="197" t="s">
        <v>113</v>
      </c>
      <c r="G12" s="197" t="s">
        <v>124</v>
      </c>
      <c r="H12" s="197" t="s">
        <v>187</v>
      </c>
      <c r="I12" s="197" t="s">
        <v>122</v>
      </c>
      <c r="J12" s="197" t="s">
        <v>114</v>
      </c>
      <c r="K12" s="197" t="s">
        <v>188</v>
      </c>
      <c r="L12" s="203"/>
    </row>
    <row r="13" spans="1:11" ht="12">
      <c r="A13" s="187"/>
      <c r="B13" s="187"/>
      <c r="C13" s="187"/>
      <c r="D13" s="187"/>
      <c r="E13" s="187"/>
      <c r="F13" s="187"/>
      <c r="G13" s="187"/>
      <c r="H13" s="187"/>
      <c r="I13" s="187"/>
      <c r="J13" s="187"/>
      <c r="K13" s="187"/>
    </row>
    <row r="14" spans="1:11" ht="12">
      <c r="A14" s="187" t="s">
        <v>261</v>
      </c>
      <c r="B14" s="187"/>
      <c r="C14" s="187"/>
      <c r="D14" s="187"/>
      <c r="E14" s="187"/>
      <c r="F14" s="187"/>
      <c r="G14" s="187"/>
      <c r="H14" s="187"/>
      <c r="I14" s="187"/>
      <c r="J14" s="187"/>
      <c r="K14" s="187"/>
    </row>
    <row r="15" spans="1:12" s="199" customFormat="1" ht="24" customHeight="1">
      <c r="A15" s="366" t="s">
        <v>299</v>
      </c>
      <c r="B15" s="366"/>
      <c r="C15" s="200">
        <f>'[2]Reserves'!$C$13</f>
        <v>447988</v>
      </c>
      <c r="D15" s="200">
        <f>'[2]Reserves'!$C$24</f>
        <v>425006</v>
      </c>
      <c r="E15" s="200">
        <f>'[2]Reserves'!$C$32</f>
        <v>64539</v>
      </c>
      <c r="F15" s="200">
        <f>'[2]Reserves'!$C$40</f>
        <v>43432</v>
      </c>
      <c r="G15" s="200">
        <f>'[2]Reserves'!$C$47</f>
        <v>3918</v>
      </c>
      <c r="H15" s="200">
        <f>'[2]Reserves'!$C$71+'[2]Reserves'!$C$79</f>
        <v>16529</v>
      </c>
      <c r="I15" s="200">
        <f>'[2]Reserves'!$C$94+57168</f>
        <v>1973138</v>
      </c>
      <c r="J15" s="200">
        <f>'[2]Reserves'!$C$61</f>
        <v>-36275</v>
      </c>
      <c r="K15" s="200">
        <f>SUM(C15:J15)</f>
        <v>2938275</v>
      </c>
      <c r="L15" s="204"/>
    </row>
    <row r="16" spans="1:11" ht="12">
      <c r="A16" s="187" t="s">
        <v>217</v>
      </c>
      <c r="B16" s="187"/>
      <c r="C16" s="238"/>
      <c r="D16" s="238"/>
      <c r="E16" s="238"/>
      <c r="F16" s="238">
        <f>'Notes MASB (a-g)'!N57</f>
        <v>-34003</v>
      </c>
      <c r="G16" s="238"/>
      <c r="H16" s="238">
        <v>-8379</v>
      </c>
      <c r="I16" s="238">
        <f>'[2]Reserves'!$C$95</f>
        <v>-3974</v>
      </c>
      <c r="J16" s="238"/>
      <c r="K16" s="239">
        <f>SUM(C16:J16)</f>
        <v>-46356</v>
      </c>
    </row>
    <row r="17" spans="1:11" ht="12">
      <c r="A17" s="187" t="s">
        <v>262</v>
      </c>
      <c r="B17" s="187"/>
      <c r="C17" s="201">
        <f>SUM(C15:C16)</f>
        <v>447988</v>
      </c>
      <c r="D17" s="201">
        <f aca="true" t="shared" si="0" ref="D17:K17">SUM(D15:D16)</f>
        <v>425006</v>
      </c>
      <c r="E17" s="201">
        <f t="shared" si="0"/>
        <v>64539</v>
      </c>
      <c r="F17" s="201">
        <f t="shared" si="0"/>
        <v>9429</v>
      </c>
      <c r="G17" s="201">
        <f t="shared" si="0"/>
        <v>3918</v>
      </c>
      <c r="H17" s="201">
        <f t="shared" si="0"/>
        <v>8150</v>
      </c>
      <c r="I17" s="201">
        <f t="shared" si="0"/>
        <v>1969164</v>
      </c>
      <c r="J17" s="201">
        <f t="shared" si="0"/>
        <v>-36275</v>
      </c>
      <c r="K17" s="201">
        <f t="shared" si="0"/>
        <v>2891919</v>
      </c>
    </row>
    <row r="18" spans="1:12" s="230" customFormat="1" ht="33" customHeight="1">
      <c r="A18" s="367" t="s">
        <v>216</v>
      </c>
      <c r="B18" s="367"/>
      <c r="C18" s="228">
        <v>0</v>
      </c>
      <c r="D18" s="228">
        <v>0</v>
      </c>
      <c r="E18" s="228">
        <f>SUM('[2]Reserves'!$C$33:$C$35)</f>
        <v>0</v>
      </c>
      <c r="F18" s="228">
        <f>SUM('[2]Reserves'!$C$41:$C$42)-F16</f>
        <v>-16</v>
      </c>
      <c r="G18" s="228">
        <f>SUM('[2]Reserves'!$C$48:$C$49)</f>
        <v>3074</v>
      </c>
      <c r="H18" s="228">
        <v>0</v>
      </c>
      <c r="I18" s="228">
        <v>0</v>
      </c>
      <c r="J18" s="228">
        <v>0</v>
      </c>
      <c r="K18" s="228">
        <f aca="true" t="shared" si="1" ref="K18:K24">SUM(C18:J18)</f>
        <v>3058</v>
      </c>
      <c r="L18" s="229"/>
    </row>
    <row r="19" spans="1:12" s="230" customFormat="1" ht="24" customHeight="1">
      <c r="A19" s="367" t="s">
        <v>170</v>
      </c>
      <c r="B19" s="367"/>
      <c r="C19" s="228">
        <v>0</v>
      </c>
      <c r="D19" s="228">
        <v>0</v>
      </c>
      <c r="E19" s="228">
        <v>0</v>
      </c>
      <c r="F19" s="228">
        <v>0</v>
      </c>
      <c r="G19" s="228">
        <v>0</v>
      </c>
      <c r="H19" s="228">
        <v>0</v>
      </c>
      <c r="I19" s="228">
        <f>'[2]Reserves'!$C$96-'[2]Reserves'!$C$106</f>
        <v>358662</v>
      </c>
      <c r="J19" s="228">
        <v>0</v>
      </c>
      <c r="K19" s="228">
        <f t="shared" si="1"/>
        <v>358662</v>
      </c>
      <c r="L19" s="229"/>
    </row>
    <row r="20" spans="1:12" s="230" customFormat="1" ht="16.5" customHeight="1">
      <c r="A20" s="367" t="s">
        <v>300</v>
      </c>
      <c r="B20" s="367"/>
      <c r="C20" s="228">
        <v>0</v>
      </c>
      <c r="D20" s="228">
        <v>0</v>
      </c>
      <c r="E20" s="228">
        <v>0</v>
      </c>
      <c r="F20" s="228">
        <v>0</v>
      </c>
      <c r="G20" s="228">
        <v>0</v>
      </c>
      <c r="H20" s="228">
        <v>0</v>
      </c>
      <c r="I20" s="228">
        <f>-57168-2739</f>
        <v>-59907</v>
      </c>
      <c r="J20" s="228">
        <v>0</v>
      </c>
      <c r="K20" s="228">
        <f t="shared" si="1"/>
        <v>-59907</v>
      </c>
      <c r="L20" s="229"/>
    </row>
    <row r="21" spans="1:12" s="230" customFormat="1" ht="14.25" customHeight="1">
      <c r="A21" s="367" t="s">
        <v>289</v>
      </c>
      <c r="B21" s="367"/>
      <c r="C21" s="228">
        <v>0</v>
      </c>
      <c r="D21" s="228">
        <f>'[2]Reserves'!$C$28</f>
        <v>-171696</v>
      </c>
      <c r="E21" s="228">
        <v>0</v>
      </c>
      <c r="F21" s="228">
        <v>0</v>
      </c>
      <c r="G21" s="228">
        <v>0</v>
      </c>
      <c r="H21" s="228">
        <v>0</v>
      </c>
      <c r="I21" s="228">
        <f>'[2]Reserves'!$C$97</f>
        <v>-21560</v>
      </c>
      <c r="J21" s="228">
        <v>0</v>
      </c>
      <c r="K21" s="228">
        <f t="shared" si="1"/>
        <v>-193256</v>
      </c>
      <c r="L21" s="229"/>
    </row>
    <row r="22" spans="1:11" ht="18.75" customHeight="1">
      <c r="A22" s="187" t="s">
        <v>214</v>
      </c>
      <c r="B22" s="187"/>
      <c r="C22" s="228">
        <f>SUM('[2]Reserves'!$C$14:$C$19)</f>
        <v>79972</v>
      </c>
      <c r="D22" s="228">
        <f>'[2]Reserves'!$C$25</f>
        <v>442979</v>
      </c>
      <c r="E22" s="228">
        <v>0</v>
      </c>
      <c r="F22" s="228">
        <v>0</v>
      </c>
      <c r="G22" s="228">
        <v>0</v>
      </c>
      <c r="H22" s="228">
        <v>0</v>
      </c>
      <c r="I22" s="228">
        <v>0</v>
      </c>
      <c r="J22" s="228">
        <v>0</v>
      </c>
      <c r="K22" s="228">
        <f t="shared" si="1"/>
        <v>522951</v>
      </c>
    </row>
    <row r="23" spans="1:11" ht="20.25" customHeight="1">
      <c r="A23" s="187" t="s">
        <v>215</v>
      </c>
      <c r="B23" s="187"/>
      <c r="C23" s="228">
        <v>0</v>
      </c>
      <c r="D23" s="228">
        <v>0</v>
      </c>
      <c r="E23" s="228">
        <v>0</v>
      </c>
      <c r="F23" s="228">
        <v>0</v>
      </c>
      <c r="G23" s="228">
        <v>0</v>
      </c>
      <c r="H23" s="228">
        <v>0</v>
      </c>
      <c r="I23" s="228">
        <v>0</v>
      </c>
      <c r="J23" s="228">
        <f>SUM('[2]Reserves'!$C$62:$C$66)</f>
        <v>-58388</v>
      </c>
      <c r="K23" s="228">
        <f t="shared" si="1"/>
        <v>-58388</v>
      </c>
    </row>
    <row r="24" spans="1:11" ht="31.5" customHeight="1">
      <c r="A24" s="366" t="s">
        <v>218</v>
      </c>
      <c r="B24" s="366"/>
      <c r="C24" s="228">
        <v>0</v>
      </c>
      <c r="D24" s="228">
        <v>0</v>
      </c>
      <c r="E24" s="228">
        <v>0</v>
      </c>
      <c r="F24" s="228">
        <v>0</v>
      </c>
      <c r="G24" s="228">
        <v>0</v>
      </c>
      <c r="H24" s="228">
        <f>SUM('[2]Reserves'!$C$72:$C$75)+SUM('[2]Reserves'!$C$80:$C$83)-H16</f>
        <v>-589</v>
      </c>
      <c r="I24" s="228">
        <v>0</v>
      </c>
      <c r="J24" s="228">
        <v>0</v>
      </c>
      <c r="K24" s="228">
        <f t="shared" si="1"/>
        <v>-589</v>
      </c>
    </row>
    <row r="25" spans="1:11" ht="12">
      <c r="A25" s="187"/>
      <c r="B25" s="187"/>
      <c r="C25" s="228"/>
      <c r="D25" s="228"/>
      <c r="E25" s="228"/>
      <c r="F25" s="228"/>
      <c r="G25" s="228"/>
      <c r="H25" s="228"/>
      <c r="I25" s="228"/>
      <c r="J25" s="228"/>
      <c r="K25" s="228"/>
    </row>
    <row r="26" spans="1:12" ht="24.75" customHeight="1" thickBot="1">
      <c r="A26" s="368" t="s">
        <v>292</v>
      </c>
      <c r="B26" s="368"/>
      <c r="C26" s="198">
        <f>SUM(C17:C25)</f>
        <v>527960</v>
      </c>
      <c r="D26" s="198">
        <f aca="true" t="shared" si="2" ref="D26:K26">SUM(D17:D25)</f>
        <v>696289</v>
      </c>
      <c r="E26" s="198">
        <f t="shared" si="2"/>
        <v>64539</v>
      </c>
      <c r="F26" s="198">
        <f t="shared" si="2"/>
        <v>9413</v>
      </c>
      <c r="G26" s="198">
        <f t="shared" si="2"/>
        <v>6992</v>
      </c>
      <c r="H26" s="198">
        <f t="shared" si="2"/>
        <v>7561</v>
      </c>
      <c r="I26" s="198">
        <f t="shared" si="2"/>
        <v>2246359</v>
      </c>
      <c r="J26" s="198">
        <f t="shared" si="2"/>
        <v>-94663</v>
      </c>
      <c r="K26" s="198">
        <f t="shared" si="2"/>
        <v>3464450</v>
      </c>
      <c r="L26" s="271"/>
    </row>
    <row r="27" spans="3:11" ht="11.25">
      <c r="C27" s="196"/>
      <c r="D27" s="196"/>
      <c r="E27" s="196"/>
      <c r="F27" s="196"/>
      <c r="G27" s="196"/>
      <c r="H27" s="196"/>
      <c r="I27" s="196"/>
      <c r="J27" s="196"/>
      <c r="K27" s="196"/>
    </row>
    <row r="28" spans="3:11" ht="11.25">
      <c r="C28" s="196"/>
      <c r="D28" s="196"/>
      <c r="E28" s="196"/>
      <c r="F28" s="196"/>
      <c r="G28" s="196"/>
      <c r="H28" s="196"/>
      <c r="I28" s="196"/>
      <c r="J28" s="196"/>
      <c r="K28" s="196"/>
    </row>
    <row r="29" spans="3:11" ht="11.25">
      <c r="C29" s="196"/>
      <c r="D29" s="196"/>
      <c r="E29" s="196"/>
      <c r="F29" s="196"/>
      <c r="G29" s="196"/>
      <c r="H29" s="196"/>
      <c r="I29" s="196"/>
      <c r="J29" s="196"/>
      <c r="K29" s="196"/>
    </row>
    <row r="30" spans="3:11" ht="11.25">
      <c r="C30" s="196"/>
      <c r="D30" s="196"/>
      <c r="E30" s="196"/>
      <c r="F30" s="196"/>
      <c r="G30" s="196"/>
      <c r="H30" s="196"/>
      <c r="I30" s="196"/>
      <c r="J30" s="196"/>
      <c r="K30" s="196"/>
    </row>
    <row r="31" spans="3:11" ht="11.25">
      <c r="C31" s="196"/>
      <c r="D31" s="196"/>
      <c r="E31" s="196"/>
      <c r="F31" s="196"/>
      <c r="G31" s="196"/>
      <c r="H31" s="196"/>
      <c r="I31" s="196"/>
      <c r="J31" s="196"/>
      <c r="K31" s="196"/>
    </row>
    <row r="32" spans="1:11" s="194" customFormat="1" ht="27.75" customHeight="1">
      <c r="A32" s="193" t="s">
        <v>186</v>
      </c>
      <c r="B32" s="369" t="s">
        <v>364</v>
      </c>
      <c r="C32" s="369"/>
      <c r="D32" s="369"/>
      <c r="E32" s="369"/>
      <c r="F32" s="369"/>
      <c r="G32" s="369"/>
      <c r="H32" s="369"/>
      <c r="I32" s="369"/>
      <c r="J32" s="369"/>
      <c r="K32" s="369"/>
    </row>
    <row r="33" spans="3:11" ht="11.25">
      <c r="C33" s="196"/>
      <c r="D33" s="196"/>
      <c r="E33" s="196"/>
      <c r="F33" s="196"/>
      <c r="G33" s="196"/>
      <c r="H33" s="196"/>
      <c r="I33" s="196"/>
      <c r="J33" s="196"/>
      <c r="K33" s="196"/>
    </row>
    <row r="34" spans="3:11" ht="11.25">
      <c r="C34" s="196"/>
      <c r="D34" s="196"/>
      <c r="E34" s="196"/>
      <c r="F34" s="196"/>
      <c r="G34" s="196"/>
      <c r="H34" s="196"/>
      <c r="I34" s="196"/>
      <c r="J34" s="196"/>
      <c r="K34" s="196"/>
    </row>
    <row r="39" spans="1:11" ht="27" customHeight="1">
      <c r="A39" s="362" t="s">
        <v>257</v>
      </c>
      <c r="B39" s="362"/>
      <c r="C39" s="362"/>
      <c r="D39" s="362"/>
      <c r="E39" s="362"/>
      <c r="F39" s="362"/>
      <c r="G39" s="362"/>
      <c r="H39" s="362"/>
      <c r="I39" s="362"/>
      <c r="J39" s="362"/>
      <c r="K39" s="362"/>
    </row>
    <row r="44" ht="25.5" customHeight="1"/>
    <row r="46" ht="29.25" customHeight="1"/>
  </sheetData>
  <mergeCells count="11">
    <mergeCell ref="A26:B26"/>
    <mergeCell ref="A39:K39"/>
    <mergeCell ref="B32:K32"/>
    <mergeCell ref="A1:K1"/>
    <mergeCell ref="A2:H2"/>
    <mergeCell ref="A15:B15"/>
    <mergeCell ref="A24:B24"/>
    <mergeCell ref="A18:B18"/>
    <mergeCell ref="A19:B19"/>
    <mergeCell ref="A21:B21"/>
    <mergeCell ref="A20:B20"/>
  </mergeCells>
  <printOptions/>
  <pageMargins left="0.91" right="0.38" top="1.29" bottom="1.17" header="0.38" footer="1.1"/>
  <pageSetup horizontalDpi="300" verticalDpi="300" orientation="portrait" paperSize="9" scale="95" r:id="rId1"/>
  <headerFooter alignWithMargins="0">
    <oddFooter>&amp;C&amp;"Times New Roman,Regular"&amp;7- Page &amp;P+3 -&amp;R
</oddFooter>
  </headerFooter>
</worksheet>
</file>

<file path=xl/worksheets/sheet5.xml><?xml version="1.0" encoding="utf-8"?>
<worksheet xmlns="http://schemas.openxmlformats.org/spreadsheetml/2006/main" xmlns:r="http://schemas.openxmlformats.org/officeDocument/2006/relationships">
  <dimension ref="A1:R128"/>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3.710937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77" t="s">
        <v>93</v>
      </c>
      <c r="B1" s="377"/>
      <c r="C1" s="377"/>
      <c r="D1" s="377"/>
      <c r="E1" s="377"/>
      <c r="F1" s="377"/>
      <c r="G1" s="377"/>
      <c r="H1" s="377"/>
      <c r="I1" s="377"/>
      <c r="J1" s="377"/>
      <c r="K1" s="377"/>
      <c r="L1" s="377"/>
      <c r="M1" s="377"/>
      <c r="N1" s="377"/>
      <c r="O1" s="377"/>
      <c r="P1" s="377"/>
      <c r="Q1" s="137"/>
    </row>
    <row r="2" spans="1:17" s="19" customFormat="1" ht="12.75">
      <c r="A2" s="343" t="s">
        <v>5</v>
      </c>
      <c r="B2" s="343"/>
      <c r="C2" s="343"/>
      <c r="D2" s="343"/>
      <c r="E2" s="343"/>
      <c r="F2" s="343"/>
      <c r="G2" s="343"/>
      <c r="H2" s="343"/>
      <c r="I2" s="343"/>
      <c r="J2" s="343"/>
      <c r="K2" s="343"/>
      <c r="L2" s="343"/>
      <c r="M2" s="343"/>
      <c r="N2" s="343"/>
      <c r="O2" s="343"/>
      <c r="P2" s="343"/>
      <c r="Q2" s="138"/>
    </row>
    <row r="3" s="19" customFormat="1" ht="12.75">
      <c r="P3" s="18"/>
    </row>
    <row r="4" spans="1:16" s="19" customFormat="1" ht="14.25">
      <c r="A4" s="139" t="str">
        <f>'IS'!A4</f>
        <v>Interim report for the financial period ended 31 March 2003</v>
      </c>
      <c r="P4" s="18"/>
    </row>
    <row r="5" spans="1:16" s="19" customFormat="1" ht="12.75">
      <c r="A5" s="140" t="s">
        <v>125</v>
      </c>
      <c r="P5" s="18"/>
    </row>
    <row r="6" spans="1:15" s="80" customFormat="1" ht="12.75">
      <c r="A6" s="89"/>
      <c r="B6" s="89"/>
      <c r="C6" s="89"/>
      <c r="D6" s="89"/>
      <c r="E6" s="141"/>
      <c r="F6" s="89"/>
      <c r="G6" s="89"/>
      <c r="H6" s="89"/>
      <c r="I6" s="89"/>
      <c r="J6" s="89"/>
      <c r="K6" s="89"/>
      <c r="L6" s="89"/>
      <c r="M6" s="89"/>
      <c r="N6" s="89"/>
      <c r="O6" s="89"/>
    </row>
    <row r="7" s="19" customFormat="1" ht="12.75">
      <c r="A7" s="18" t="s">
        <v>224</v>
      </c>
    </row>
    <row r="8" s="19" customFormat="1" ht="12.75"/>
    <row r="9" spans="1:7" s="19" customFormat="1" ht="12.75">
      <c r="A9" s="18" t="s">
        <v>27</v>
      </c>
      <c r="B9" s="18"/>
      <c r="C9" s="18" t="s">
        <v>16</v>
      </c>
      <c r="D9" s="18"/>
      <c r="E9" s="18"/>
      <c r="F9" s="18"/>
      <c r="G9" s="18"/>
    </row>
    <row r="10" spans="1:7" s="19" customFormat="1" ht="12.75">
      <c r="A10" s="18"/>
      <c r="B10" s="18"/>
      <c r="C10" s="18"/>
      <c r="D10" s="18"/>
      <c r="E10" s="18"/>
      <c r="F10" s="18"/>
      <c r="G10" s="18"/>
    </row>
    <row r="11" spans="3:16" s="19" customFormat="1" ht="42" customHeight="1">
      <c r="C11" s="376" t="s">
        <v>249</v>
      </c>
      <c r="D11" s="376"/>
      <c r="E11" s="376"/>
      <c r="F11" s="376"/>
      <c r="G11" s="376"/>
      <c r="H11" s="376"/>
      <c r="I11" s="376"/>
      <c r="J11" s="376"/>
      <c r="K11" s="376"/>
      <c r="L11" s="376"/>
      <c r="M11" s="376"/>
      <c r="N11" s="376"/>
      <c r="O11" s="376"/>
      <c r="P11" s="376"/>
    </row>
    <row r="12" spans="3:16" s="19" customFormat="1" ht="9.75" customHeight="1">
      <c r="C12" s="62"/>
      <c r="D12" s="62"/>
      <c r="E12" s="62"/>
      <c r="F12" s="62"/>
      <c r="G12" s="62"/>
      <c r="H12" s="62"/>
      <c r="I12" s="62"/>
      <c r="J12" s="62"/>
      <c r="K12" s="62"/>
      <c r="L12" s="62"/>
      <c r="M12" s="62"/>
      <c r="N12" s="62"/>
      <c r="O12" s="62"/>
      <c r="P12" s="62"/>
    </row>
    <row r="13" spans="2:16" s="19" customFormat="1" ht="37.5" customHeight="1">
      <c r="B13" s="136"/>
      <c r="C13" s="376" t="s">
        <v>287</v>
      </c>
      <c r="D13" s="376"/>
      <c r="E13" s="376"/>
      <c r="F13" s="376"/>
      <c r="G13" s="376"/>
      <c r="H13" s="376"/>
      <c r="I13" s="376"/>
      <c r="J13" s="376"/>
      <c r="K13" s="376"/>
      <c r="L13" s="376"/>
      <c r="M13" s="376"/>
      <c r="N13" s="376"/>
      <c r="O13" s="376"/>
      <c r="P13" s="376"/>
    </row>
    <row r="14" spans="3:16" s="19" customFormat="1" ht="6" customHeight="1">
      <c r="C14" s="62"/>
      <c r="D14" s="62"/>
      <c r="E14" s="62"/>
      <c r="F14" s="62"/>
      <c r="G14" s="62"/>
      <c r="H14" s="62"/>
      <c r="I14" s="62"/>
      <c r="J14" s="62"/>
      <c r="K14" s="62"/>
      <c r="L14" s="62"/>
      <c r="M14" s="62"/>
      <c r="N14" s="62"/>
      <c r="O14" s="62"/>
      <c r="P14" s="62"/>
    </row>
    <row r="15" spans="3:16" s="19" customFormat="1" ht="12.75">
      <c r="C15" s="62" t="s">
        <v>250</v>
      </c>
      <c r="D15" s="376" t="s">
        <v>251</v>
      </c>
      <c r="E15" s="376"/>
      <c r="F15" s="376"/>
      <c r="G15" s="376"/>
      <c r="H15" s="376"/>
      <c r="I15" s="376"/>
      <c r="J15" s="376"/>
      <c r="K15" s="376"/>
      <c r="L15" s="376"/>
      <c r="M15" s="376"/>
      <c r="N15" s="376"/>
      <c r="O15" s="376"/>
      <c r="P15" s="376"/>
    </row>
    <row r="16" spans="3:16" s="19" customFormat="1" ht="12.75">
      <c r="C16" s="62"/>
      <c r="D16" s="62"/>
      <c r="E16" s="62"/>
      <c r="F16" s="62"/>
      <c r="G16" s="62"/>
      <c r="H16" s="62"/>
      <c r="I16" s="62"/>
      <c r="J16" s="62"/>
      <c r="K16" s="62"/>
      <c r="L16" s="62"/>
      <c r="M16" s="62"/>
      <c r="N16" s="62"/>
      <c r="O16" s="62"/>
      <c r="P16" s="62"/>
    </row>
    <row r="17" spans="4:16" s="19" customFormat="1" ht="12.75">
      <c r="D17" s="62" t="s">
        <v>98</v>
      </c>
      <c r="E17" s="12" t="s">
        <v>219</v>
      </c>
      <c r="F17" s="62"/>
      <c r="G17" s="62"/>
      <c r="H17" s="62"/>
      <c r="I17" s="62"/>
      <c r="J17" s="62"/>
      <c r="K17" s="62"/>
      <c r="L17" s="62"/>
      <c r="M17" s="62"/>
      <c r="N17" s="62"/>
      <c r="O17" s="62"/>
      <c r="P17" s="62"/>
    </row>
    <row r="18" spans="3:16" s="19" customFormat="1" ht="6.75" customHeight="1">
      <c r="C18" s="62"/>
      <c r="E18" s="62"/>
      <c r="F18" s="62"/>
      <c r="G18" s="62"/>
      <c r="H18" s="62"/>
      <c r="I18" s="62"/>
      <c r="J18" s="62"/>
      <c r="K18" s="62"/>
      <c r="L18" s="62"/>
      <c r="M18" s="62"/>
      <c r="N18" s="62"/>
      <c r="O18" s="62"/>
      <c r="P18" s="62"/>
    </row>
    <row r="19" spans="3:16" s="19" customFormat="1" ht="12.75">
      <c r="C19" s="62"/>
      <c r="E19" s="231" t="s">
        <v>220</v>
      </c>
      <c r="F19" s="62"/>
      <c r="G19" s="62"/>
      <c r="H19" s="62"/>
      <c r="I19" s="62"/>
      <c r="J19" s="62"/>
      <c r="K19" s="62"/>
      <c r="L19" s="62"/>
      <c r="M19" s="62"/>
      <c r="N19" s="62"/>
      <c r="O19" s="62"/>
      <c r="P19" s="62"/>
    </row>
    <row r="20" spans="3:16" s="19" customFormat="1" ht="12.75">
      <c r="C20" s="62"/>
      <c r="E20" s="232" t="s">
        <v>252</v>
      </c>
      <c r="F20" s="62"/>
      <c r="G20" s="62"/>
      <c r="H20" s="62"/>
      <c r="I20" s="62"/>
      <c r="J20" s="62"/>
      <c r="K20" s="62"/>
      <c r="L20" s="62"/>
      <c r="M20" s="62"/>
      <c r="N20" s="62"/>
      <c r="O20" s="62"/>
      <c r="P20" s="62"/>
    </row>
    <row r="21" spans="3:16" s="19" customFormat="1" ht="10.5" customHeight="1">
      <c r="C21" s="62"/>
      <c r="D21" s="62"/>
      <c r="E21" s="62"/>
      <c r="F21" s="62"/>
      <c r="G21" s="62"/>
      <c r="H21" s="62"/>
      <c r="I21" s="62"/>
      <c r="J21" s="62"/>
      <c r="K21" s="62"/>
      <c r="L21" s="62"/>
      <c r="M21" s="62"/>
      <c r="N21" s="62"/>
      <c r="O21" s="62"/>
      <c r="P21" s="62"/>
    </row>
    <row r="22" spans="4:16" s="19" customFormat="1" ht="12.75">
      <c r="D22" s="62" t="s">
        <v>99</v>
      </c>
      <c r="E22" s="12" t="s">
        <v>221</v>
      </c>
      <c r="F22" s="62"/>
      <c r="G22" s="62"/>
      <c r="H22" s="62"/>
      <c r="I22" s="62"/>
      <c r="J22" s="62"/>
      <c r="K22" s="62"/>
      <c r="L22" s="62"/>
      <c r="M22" s="62"/>
      <c r="N22" s="62"/>
      <c r="O22" s="62"/>
      <c r="P22" s="62"/>
    </row>
    <row r="23" spans="3:16" s="19" customFormat="1" ht="6.75" customHeight="1">
      <c r="C23" s="62"/>
      <c r="E23" s="62"/>
      <c r="F23" s="62"/>
      <c r="G23" s="62"/>
      <c r="H23" s="62"/>
      <c r="I23" s="62"/>
      <c r="J23" s="62"/>
      <c r="K23" s="62"/>
      <c r="L23" s="62"/>
      <c r="M23" s="62"/>
      <c r="N23" s="62"/>
      <c r="O23" s="62"/>
      <c r="P23" s="62"/>
    </row>
    <row r="24" spans="3:16" s="19" customFormat="1" ht="12.75">
      <c r="C24" s="62"/>
      <c r="E24" s="232" t="s">
        <v>222</v>
      </c>
      <c r="F24" s="62"/>
      <c r="G24" s="62"/>
      <c r="H24" s="62"/>
      <c r="I24" s="62"/>
      <c r="J24" s="62"/>
      <c r="K24" s="62"/>
      <c r="L24" s="62"/>
      <c r="M24" s="62"/>
      <c r="N24" s="62"/>
      <c r="O24" s="62"/>
      <c r="P24" s="62"/>
    </row>
    <row r="25" spans="3:16" s="19" customFormat="1" ht="12.75">
      <c r="C25" s="62"/>
      <c r="D25" s="62"/>
      <c r="E25" s="62"/>
      <c r="F25" s="62"/>
      <c r="G25" s="62"/>
      <c r="H25" s="62"/>
      <c r="I25" s="62"/>
      <c r="J25" s="62"/>
      <c r="K25" s="62"/>
      <c r="L25" s="62"/>
      <c r="M25" s="62"/>
      <c r="N25" s="62"/>
      <c r="O25" s="62"/>
      <c r="P25" s="62"/>
    </row>
    <row r="26" spans="4:16" s="19" customFormat="1" ht="39.75" customHeight="1">
      <c r="D26" s="376" t="s">
        <v>253</v>
      </c>
      <c r="E26" s="376"/>
      <c r="F26" s="376"/>
      <c r="G26" s="376"/>
      <c r="H26" s="376"/>
      <c r="I26" s="376"/>
      <c r="J26" s="376"/>
      <c r="K26" s="376"/>
      <c r="L26" s="376"/>
      <c r="M26" s="376"/>
      <c r="N26" s="376"/>
      <c r="O26" s="376"/>
      <c r="P26" s="376"/>
    </row>
    <row r="27" spans="3:16" s="19" customFormat="1" ht="12.75">
      <c r="C27" s="62"/>
      <c r="D27" s="62"/>
      <c r="E27" s="62"/>
      <c r="F27" s="62"/>
      <c r="G27" s="62"/>
      <c r="H27" s="62"/>
      <c r="I27" s="62"/>
      <c r="J27" s="62"/>
      <c r="K27" s="62"/>
      <c r="L27" s="62"/>
      <c r="M27" s="62"/>
      <c r="N27" s="62"/>
      <c r="O27" s="62"/>
      <c r="P27" s="62"/>
    </row>
    <row r="28" spans="3:16" s="19" customFormat="1" ht="12.75" customHeight="1">
      <c r="C28" s="19" t="s">
        <v>163</v>
      </c>
      <c r="D28" s="135" t="s">
        <v>20</v>
      </c>
      <c r="E28" s="148"/>
      <c r="F28" s="148"/>
      <c r="G28" s="148"/>
      <c r="H28" s="148"/>
      <c r="I28" s="148"/>
      <c r="J28" s="148"/>
      <c r="K28" s="148"/>
      <c r="L28" s="148"/>
      <c r="M28" s="148"/>
      <c r="N28" s="148"/>
      <c r="O28" s="142"/>
      <c r="P28" s="142"/>
    </row>
    <row r="29" spans="3:16" s="19" customFormat="1" ht="7.5" customHeight="1">
      <c r="C29" s="144"/>
      <c r="E29" s="148"/>
      <c r="F29" s="148"/>
      <c r="G29" s="148"/>
      <c r="H29" s="148"/>
      <c r="I29" s="148"/>
      <c r="J29" s="148"/>
      <c r="K29" s="148"/>
      <c r="L29" s="148"/>
      <c r="M29" s="148"/>
      <c r="N29" s="148"/>
      <c r="O29" s="142"/>
      <c r="P29" s="142"/>
    </row>
    <row r="30" spans="4:16" s="19" customFormat="1" ht="54" customHeight="1">
      <c r="D30" s="376" t="s">
        <v>254</v>
      </c>
      <c r="E30" s="376"/>
      <c r="F30" s="376"/>
      <c r="G30" s="376"/>
      <c r="H30" s="376"/>
      <c r="I30" s="376"/>
      <c r="J30" s="376"/>
      <c r="K30" s="376"/>
      <c r="L30" s="376"/>
      <c r="M30" s="376"/>
      <c r="N30" s="376"/>
      <c r="O30" s="376"/>
      <c r="P30" s="376"/>
    </row>
    <row r="31" spans="3:16" s="19" customFormat="1" ht="12.75">
      <c r="C31" s="62"/>
      <c r="D31" s="62"/>
      <c r="E31" s="62"/>
      <c r="F31" s="62"/>
      <c r="G31" s="62"/>
      <c r="H31" s="62"/>
      <c r="I31" s="62"/>
      <c r="J31" s="62"/>
      <c r="K31" s="62"/>
      <c r="L31" s="62"/>
      <c r="M31" s="62"/>
      <c r="N31" s="62"/>
      <c r="O31" s="62"/>
      <c r="P31" s="62"/>
    </row>
    <row r="32" spans="4:16" s="19" customFormat="1" ht="29.25" customHeight="1">
      <c r="D32" s="376" t="s">
        <v>348</v>
      </c>
      <c r="E32" s="376"/>
      <c r="F32" s="376"/>
      <c r="G32" s="376"/>
      <c r="H32" s="376"/>
      <c r="I32" s="376"/>
      <c r="J32" s="376"/>
      <c r="K32" s="376"/>
      <c r="L32" s="376"/>
      <c r="M32" s="376"/>
      <c r="N32" s="376"/>
      <c r="O32" s="376"/>
      <c r="P32" s="376"/>
    </row>
    <row r="33" spans="4:16" s="19" customFormat="1" ht="13.5" customHeight="1">
      <c r="D33" s="62"/>
      <c r="E33" s="62"/>
      <c r="F33" s="62"/>
      <c r="G33" s="62"/>
      <c r="H33" s="62"/>
      <c r="I33" s="62"/>
      <c r="J33" s="62"/>
      <c r="K33" s="62"/>
      <c r="L33" s="62"/>
      <c r="M33" s="62"/>
      <c r="N33" s="62"/>
      <c r="O33" s="62"/>
      <c r="P33" s="62"/>
    </row>
    <row r="34" spans="3:16" s="19" customFormat="1" ht="26.25" customHeight="1">
      <c r="C34" s="62" t="s">
        <v>255</v>
      </c>
      <c r="D34" s="376" t="s">
        <v>275</v>
      </c>
      <c r="E34" s="376"/>
      <c r="F34" s="376"/>
      <c r="G34" s="376"/>
      <c r="H34" s="376"/>
      <c r="I34" s="376"/>
      <c r="J34" s="376"/>
      <c r="K34" s="376"/>
      <c r="L34" s="376"/>
      <c r="M34" s="376"/>
      <c r="N34" s="376"/>
      <c r="O34" s="376"/>
      <c r="P34" s="376"/>
    </row>
    <row r="35" spans="3:16" s="19" customFormat="1" ht="5.25" customHeight="1">
      <c r="C35" s="62"/>
      <c r="E35" s="136"/>
      <c r="F35" s="136"/>
      <c r="G35" s="136"/>
      <c r="H35" s="136"/>
      <c r="I35" s="62"/>
      <c r="J35" s="62"/>
      <c r="K35" s="62"/>
      <c r="L35" s="143"/>
      <c r="M35" s="122"/>
      <c r="N35" s="143"/>
      <c r="O35" s="122"/>
      <c r="P35" s="143"/>
    </row>
    <row r="36" spans="3:18" s="136" customFormat="1" ht="55.5" customHeight="1">
      <c r="C36" s="62"/>
      <c r="D36" s="372" t="s">
        <v>276</v>
      </c>
      <c r="E36" s="372"/>
      <c r="F36" s="372"/>
      <c r="G36" s="372"/>
      <c r="H36" s="372"/>
      <c r="I36" s="372"/>
      <c r="J36" s="372"/>
      <c r="K36" s="372"/>
      <c r="L36" s="372"/>
      <c r="M36" s="372"/>
      <c r="N36" s="372"/>
      <c r="O36" s="372"/>
      <c r="P36" s="372"/>
      <c r="Q36" s="372"/>
      <c r="R36" s="372"/>
    </row>
    <row r="37" spans="3:16" s="19" customFormat="1" ht="5.25" customHeight="1">
      <c r="C37" s="62"/>
      <c r="E37" s="136"/>
      <c r="F37" s="136"/>
      <c r="G37" s="136"/>
      <c r="H37" s="136"/>
      <c r="I37" s="62"/>
      <c r="J37" s="62"/>
      <c r="K37" s="62"/>
      <c r="L37" s="143"/>
      <c r="M37" s="122"/>
      <c r="N37" s="143"/>
      <c r="O37" s="122"/>
      <c r="P37" s="143"/>
    </row>
    <row r="38" spans="3:18" s="19" customFormat="1" ht="64.5" customHeight="1">
      <c r="C38" s="62"/>
      <c r="D38" s="376" t="s">
        <v>280</v>
      </c>
      <c r="E38" s="376"/>
      <c r="F38" s="376"/>
      <c r="G38" s="376"/>
      <c r="H38" s="376"/>
      <c r="I38" s="376"/>
      <c r="J38" s="376"/>
      <c r="K38" s="376"/>
      <c r="L38" s="376"/>
      <c r="M38" s="376"/>
      <c r="N38" s="376"/>
      <c r="O38" s="376"/>
      <c r="P38" s="376"/>
      <c r="Q38" s="376"/>
      <c r="R38" s="376"/>
    </row>
    <row r="39" spans="3:16" s="19" customFormat="1" ht="12.75">
      <c r="C39" s="62"/>
      <c r="E39" s="136"/>
      <c r="F39" s="136"/>
      <c r="G39" s="136"/>
      <c r="H39" s="136"/>
      <c r="I39" s="62"/>
      <c r="J39" s="62"/>
      <c r="K39" s="62"/>
      <c r="L39" s="143"/>
      <c r="M39" s="122"/>
      <c r="N39" s="143"/>
      <c r="O39" s="122"/>
      <c r="P39" s="143"/>
    </row>
    <row r="40" spans="3:18" s="19" customFormat="1" ht="29.25" customHeight="1">
      <c r="C40" s="62"/>
      <c r="D40" s="376" t="s">
        <v>342</v>
      </c>
      <c r="E40" s="376"/>
      <c r="F40" s="376"/>
      <c r="G40" s="376"/>
      <c r="H40" s="376"/>
      <c r="I40" s="376"/>
      <c r="J40" s="376"/>
      <c r="K40" s="376"/>
      <c r="L40" s="376"/>
      <c r="M40" s="376"/>
      <c r="N40" s="376"/>
      <c r="O40" s="376"/>
      <c r="P40" s="376"/>
      <c r="Q40" s="376"/>
      <c r="R40" s="376"/>
    </row>
    <row r="41" spans="3:16" s="18" customFormat="1" ht="38.25">
      <c r="C41" s="142"/>
      <c r="D41" s="142"/>
      <c r="E41" s="142"/>
      <c r="F41" s="142"/>
      <c r="G41" s="142"/>
      <c r="H41" s="142"/>
      <c r="I41" s="142"/>
      <c r="J41" s="142"/>
      <c r="K41" s="142"/>
      <c r="L41" s="143" t="s">
        <v>148</v>
      </c>
      <c r="M41" s="143"/>
      <c r="N41" s="143" t="s">
        <v>147</v>
      </c>
      <c r="O41" s="143"/>
      <c r="P41" s="143" t="s">
        <v>146</v>
      </c>
    </row>
    <row r="42" spans="3:16" s="19" customFormat="1" ht="12.75">
      <c r="C42" s="62"/>
      <c r="E42" s="136"/>
      <c r="F42" s="136"/>
      <c r="G42" s="136"/>
      <c r="H42" s="136"/>
      <c r="I42" s="62"/>
      <c r="J42" s="62"/>
      <c r="K42" s="62"/>
      <c r="L42" s="143" t="s">
        <v>7</v>
      </c>
      <c r="M42" s="122"/>
      <c r="N42" s="143" t="s">
        <v>7</v>
      </c>
      <c r="O42" s="122"/>
      <c r="P42" s="143" t="s">
        <v>7</v>
      </c>
    </row>
    <row r="43" spans="3:16" s="19" customFormat="1" ht="12.75">
      <c r="C43" s="62"/>
      <c r="D43" s="62"/>
      <c r="E43" s="62"/>
      <c r="F43" s="62"/>
      <c r="G43" s="62"/>
      <c r="H43" s="62"/>
      <c r="I43" s="62"/>
      <c r="J43" s="62"/>
      <c r="K43" s="62"/>
      <c r="L43" s="147"/>
      <c r="M43" s="147"/>
      <c r="N43" s="147"/>
      <c r="O43" s="147"/>
      <c r="P43" s="147"/>
    </row>
    <row r="44" spans="3:16" s="19" customFormat="1" ht="12.75">
      <c r="C44" s="62"/>
      <c r="D44" s="144" t="s">
        <v>329</v>
      </c>
      <c r="E44" s="62"/>
      <c r="F44" s="62"/>
      <c r="G44" s="62"/>
      <c r="H44" s="62"/>
      <c r="I44" s="62"/>
      <c r="J44" s="62"/>
      <c r="K44" s="62"/>
      <c r="L44" s="147"/>
      <c r="M44" s="147"/>
      <c r="N44" s="147"/>
      <c r="O44" s="147"/>
      <c r="P44" s="147"/>
    </row>
    <row r="45" spans="3:16" s="19" customFormat="1" ht="12.75">
      <c r="C45" s="146" t="s">
        <v>149</v>
      </c>
      <c r="D45" s="136" t="s">
        <v>210</v>
      </c>
      <c r="E45" s="136"/>
      <c r="F45" s="62"/>
      <c r="G45" s="62"/>
      <c r="H45" s="62"/>
      <c r="I45" s="62"/>
      <c r="J45" s="62"/>
      <c r="K45" s="62"/>
      <c r="L45" s="147">
        <f>'IS'!D17-N45</f>
        <v>171214</v>
      </c>
      <c r="M45" s="147"/>
      <c r="N45" s="145">
        <v>-298</v>
      </c>
      <c r="O45" s="147"/>
      <c r="P45" s="147">
        <f>L45+N45</f>
        <v>170916</v>
      </c>
    </row>
    <row r="46" spans="3:16" s="19" customFormat="1" ht="12.75">
      <c r="C46" s="146" t="s">
        <v>149</v>
      </c>
      <c r="D46" s="136" t="s">
        <v>256</v>
      </c>
      <c r="E46" s="136"/>
      <c r="F46" s="62"/>
      <c r="G46" s="62"/>
      <c r="H46" s="62"/>
      <c r="I46" s="62"/>
      <c r="J46" s="62"/>
      <c r="K46" s="62"/>
      <c r="L46" s="147">
        <f>-'IS'!D22-N46</f>
        <v>34080</v>
      </c>
      <c r="M46" s="147"/>
      <c r="N46" s="145">
        <v>3198</v>
      </c>
      <c r="O46" s="147"/>
      <c r="P46" s="147">
        <f>L46+N46</f>
        <v>37278</v>
      </c>
    </row>
    <row r="47" spans="3:16" s="19" customFormat="1" ht="12.75">
      <c r="C47" s="62"/>
      <c r="D47" s="62"/>
      <c r="E47" s="62"/>
      <c r="F47" s="62"/>
      <c r="G47" s="62"/>
      <c r="H47" s="62"/>
      <c r="I47" s="62"/>
      <c r="J47" s="62"/>
      <c r="K47" s="62"/>
      <c r="L47" s="147"/>
      <c r="M47" s="147"/>
      <c r="N47" s="145"/>
      <c r="O47" s="147"/>
      <c r="P47" s="147"/>
    </row>
    <row r="48" spans="3:16" s="19" customFormat="1" ht="12.75">
      <c r="C48" s="62"/>
      <c r="D48" s="144" t="s">
        <v>343</v>
      </c>
      <c r="E48" s="62"/>
      <c r="F48" s="62"/>
      <c r="G48" s="62"/>
      <c r="H48" s="62"/>
      <c r="I48" s="62"/>
      <c r="J48" s="62"/>
      <c r="K48" s="62"/>
      <c r="L48" s="147"/>
      <c r="M48" s="147"/>
      <c r="N48" s="147"/>
      <c r="O48" s="147"/>
      <c r="P48" s="147"/>
    </row>
    <row r="49" spans="3:16" s="19" customFormat="1" ht="12.75">
      <c r="C49" s="146" t="s">
        <v>149</v>
      </c>
      <c r="D49" s="136" t="s">
        <v>210</v>
      </c>
      <c r="E49" s="136"/>
      <c r="F49" s="62"/>
      <c r="G49" s="62"/>
      <c r="H49" s="62"/>
      <c r="I49" s="62"/>
      <c r="J49" s="62"/>
      <c r="K49" s="62"/>
      <c r="L49" s="147">
        <f>'IS'!G17-'Notes MASB (a-g)'!N49</f>
        <v>382869</v>
      </c>
      <c r="M49" s="147"/>
      <c r="N49" s="145">
        <f>-298-298-298</f>
        <v>-894</v>
      </c>
      <c r="O49" s="147"/>
      <c r="P49" s="147">
        <f>L49+N49</f>
        <v>381975</v>
      </c>
    </row>
    <row r="50" spans="3:16" s="19" customFormat="1" ht="12.75">
      <c r="C50" s="146" t="s">
        <v>149</v>
      </c>
      <c r="D50" s="136" t="s">
        <v>256</v>
      </c>
      <c r="E50" s="136"/>
      <c r="F50" s="62"/>
      <c r="G50" s="62"/>
      <c r="H50" s="62"/>
      <c r="I50" s="62"/>
      <c r="J50" s="62"/>
      <c r="K50" s="62"/>
      <c r="L50" s="147">
        <f>-'IS'!G22-'Notes MASB (a-g)'!N50</f>
        <v>71949</v>
      </c>
      <c r="M50" s="147"/>
      <c r="N50" s="145">
        <f>-2032+885+3198</f>
        <v>2051</v>
      </c>
      <c r="O50" s="147"/>
      <c r="P50" s="147">
        <f>L50+N50</f>
        <v>74000</v>
      </c>
    </row>
    <row r="51" spans="3:16" s="19" customFormat="1" ht="12.75">
      <c r="C51" s="62"/>
      <c r="D51" s="62"/>
      <c r="E51" s="62"/>
      <c r="F51" s="62"/>
      <c r="G51" s="62"/>
      <c r="H51" s="62"/>
      <c r="I51" s="62"/>
      <c r="J51" s="62"/>
      <c r="K51" s="62"/>
      <c r="L51" s="147"/>
      <c r="M51" s="147"/>
      <c r="N51" s="145"/>
      <c r="O51" s="147"/>
      <c r="P51" s="147"/>
    </row>
    <row r="52" spans="3:16" s="19" customFormat="1" ht="12.75">
      <c r="C52" s="62"/>
      <c r="D52" s="62"/>
      <c r="E52" s="62"/>
      <c r="F52" s="62"/>
      <c r="G52" s="62"/>
      <c r="H52" s="62"/>
      <c r="I52" s="62"/>
      <c r="J52" s="62"/>
      <c r="K52" s="62"/>
      <c r="L52" s="147"/>
      <c r="M52" s="147"/>
      <c r="N52" s="145"/>
      <c r="O52" s="147"/>
      <c r="P52" s="147"/>
    </row>
    <row r="53" spans="4:16" s="19" customFormat="1" ht="12.75">
      <c r="D53" s="144" t="s">
        <v>277</v>
      </c>
      <c r="E53" s="62"/>
      <c r="F53" s="62"/>
      <c r="G53" s="62"/>
      <c r="H53" s="62"/>
      <c r="I53" s="62"/>
      <c r="J53" s="62"/>
      <c r="K53" s="62"/>
      <c r="L53" s="145"/>
      <c r="M53" s="145"/>
      <c r="N53" s="145"/>
      <c r="O53" s="145"/>
      <c r="P53" s="145"/>
    </row>
    <row r="54" spans="3:16" s="19" customFormat="1" ht="12.75">
      <c r="C54" s="168" t="s">
        <v>149</v>
      </c>
      <c r="D54" s="135" t="s">
        <v>266</v>
      </c>
      <c r="E54" s="62"/>
      <c r="F54" s="62"/>
      <c r="G54" s="62"/>
      <c r="H54" s="62"/>
      <c r="I54" s="62"/>
      <c r="J54" s="62"/>
      <c r="K54" s="62"/>
      <c r="L54" s="145">
        <v>2671783</v>
      </c>
      <c r="M54" s="145"/>
      <c r="N54" s="145">
        <v>-6373</v>
      </c>
      <c r="O54" s="145"/>
      <c r="P54" s="145">
        <f>SUM(L54:N54)</f>
        <v>2665410</v>
      </c>
    </row>
    <row r="55" spans="3:18" s="19" customFormat="1" ht="12.75" customHeight="1">
      <c r="C55" s="146" t="s">
        <v>149</v>
      </c>
      <c r="D55" s="136" t="s">
        <v>209</v>
      </c>
      <c r="E55" s="136"/>
      <c r="F55" s="59"/>
      <c r="G55" s="59"/>
      <c r="H55" s="62"/>
      <c r="I55" s="62"/>
      <c r="J55" s="62"/>
      <c r="K55" s="62"/>
      <c r="L55" s="145">
        <v>0</v>
      </c>
      <c r="M55" s="145"/>
      <c r="N55" s="145">
        <v>21068</v>
      </c>
      <c r="O55" s="145"/>
      <c r="P55" s="145">
        <f aca="true" t="shared" si="0" ref="P55:P61">SUM(L55:N55)</f>
        <v>21068</v>
      </c>
      <c r="Q55" s="20"/>
      <c r="R55" s="20"/>
    </row>
    <row r="56" spans="3:18" s="19" customFormat="1" ht="12.75" customHeight="1">
      <c r="C56" s="146" t="s">
        <v>149</v>
      </c>
      <c r="D56" s="136" t="s">
        <v>118</v>
      </c>
      <c r="E56" s="136"/>
      <c r="F56" s="59"/>
      <c r="G56" s="59"/>
      <c r="H56" s="62"/>
      <c r="I56" s="62"/>
      <c r="J56" s="62"/>
      <c r="K56" s="62"/>
      <c r="L56" s="145">
        <v>163629</v>
      </c>
      <c r="M56" s="145"/>
      <c r="N56" s="145">
        <v>15999</v>
      </c>
      <c r="O56" s="145"/>
      <c r="P56" s="145">
        <f t="shared" si="0"/>
        <v>179628</v>
      </c>
      <c r="Q56" s="20"/>
      <c r="R56" s="20"/>
    </row>
    <row r="57" spans="3:18" s="19" customFormat="1" ht="12.75" customHeight="1">
      <c r="C57" s="146" t="s">
        <v>149</v>
      </c>
      <c r="D57" s="136" t="s">
        <v>113</v>
      </c>
      <c r="E57" s="136"/>
      <c r="F57" s="59"/>
      <c r="G57" s="59"/>
      <c r="H57" s="62"/>
      <c r="I57" s="62"/>
      <c r="J57" s="62"/>
      <c r="K57" s="62"/>
      <c r="L57" s="145">
        <v>43432</v>
      </c>
      <c r="M57" s="145"/>
      <c r="N57" s="145">
        <f>-34003</f>
        <v>-34003</v>
      </c>
      <c r="O57" s="145"/>
      <c r="P57" s="145">
        <f t="shared" si="0"/>
        <v>9429</v>
      </c>
      <c r="Q57" s="20"/>
      <c r="R57" s="20"/>
    </row>
    <row r="58" spans="3:18" s="19" customFormat="1" ht="12.75" customHeight="1">
      <c r="C58" s="146" t="s">
        <v>149</v>
      </c>
      <c r="D58" s="136" t="s">
        <v>187</v>
      </c>
      <c r="E58" s="136"/>
      <c r="F58" s="59"/>
      <c r="G58" s="59"/>
      <c r="H58" s="62"/>
      <c r="I58" s="62"/>
      <c r="J58" s="62"/>
      <c r="K58" s="62"/>
      <c r="L58" s="145">
        <v>16529</v>
      </c>
      <c r="M58" s="145"/>
      <c r="N58" s="145">
        <f>-8379</f>
        <v>-8379</v>
      </c>
      <c r="O58" s="145"/>
      <c r="P58" s="145">
        <f t="shared" si="0"/>
        <v>8150</v>
      </c>
      <c r="Q58" s="20"/>
      <c r="R58" s="20"/>
    </row>
    <row r="59" spans="3:18" s="19" customFormat="1" ht="13.5" customHeight="1">
      <c r="C59" s="146" t="s">
        <v>149</v>
      </c>
      <c r="D59" s="136" t="s">
        <v>122</v>
      </c>
      <c r="E59" s="146"/>
      <c r="F59" s="136"/>
      <c r="G59" s="136"/>
      <c r="H59" s="62"/>
      <c r="I59" s="62"/>
      <c r="J59" s="62"/>
      <c r="K59" s="62"/>
      <c r="L59" s="145">
        <v>1973138</v>
      </c>
      <c r="M59" s="145"/>
      <c r="N59" s="145">
        <v>-3974</v>
      </c>
      <c r="O59" s="145"/>
      <c r="P59" s="145">
        <f t="shared" si="0"/>
        <v>1969164</v>
      </c>
      <c r="Q59" s="20"/>
      <c r="R59" s="20"/>
    </row>
    <row r="60" spans="3:18" s="19" customFormat="1" ht="13.5" customHeight="1">
      <c r="C60" s="146" t="s">
        <v>149</v>
      </c>
      <c r="D60" s="136" t="s">
        <v>136</v>
      </c>
      <c r="E60" s="146"/>
      <c r="F60" s="136"/>
      <c r="G60" s="136"/>
      <c r="H60" s="62"/>
      <c r="I60" s="62"/>
      <c r="J60" s="62"/>
      <c r="K60" s="62"/>
      <c r="L60" s="145">
        <v>940021</v>
      </c>
      <c r="M60" s="145"/>
      <c r="N60" s="145">
        <v>-11685</v>
      </c>
      <c r="O60" s="145"/>
      <c r="P60" s="145">
        <f t="shared" si="0"/>
        <v>928336</v>
      </c>
      <c r="Q60" s="20"/>
      <c r="R60" s="20"/>
    </row>
    <row r="61" spans="3:18" s="19" customFormat="1" ht="12.75">
      <c r="C61" s="146" t="s">
        <v>149</v>
      </c>
      <c r="D61" s="136" t="s">
        <v>267</v>
      </c>
      <c r="E61" s="136"/>
      <c r="F61" s="59"/>
      <c r="G61" s="59"/>
      <c r="H61" s="62"/>
      <c r="I61" s="62"/>
      <c r="J61" s="62"/>
      <c r="K61" s="62"/>
      <c r="L61" s="145">
        <v>115253</v>
      </c>
      <c r="M61" s="145"/>
      <c r="N61" s="145">
        <f>69224+19511</f>
        <v>88735</v>
      </c>
      <c r="O61" s="145"/>
      <c r="P61" s="145">
        <f t="shared" si="0"/>
        <v>203988</v>
      </c>
      <c r="Q61" s="20"/>
      <c r="R61" s="20"/>
    </row>
    <row r="62" s="19" customFormat="1" ht="12.75"/>
    <row r="63" s="19" customFormat="1" ht="12.75"/>
    <row r="64" spans="1:3" s="19" customFormat="1" ht="12.75">
      <c r="A64" s="18" t="s">
        <v>28</v>
      </c>
      <c r="B64" s="18"/>
      <c r="C64" s="18" t="s">
        <v>191</v>
      </c>
    </row>
    <row r="65" s="19" customFormat="1" ht="12.75"/>
    <row r="66" s="19" customFormat="1" ht="12.75">
      <c r="C66" s="19" t="s">
        <v>223</v>
      </c>
    </row>
    <row r="67" s="19" customFormat="1" ht="12.75"/>
    <row r="68" s="19" customFormat="1" ht="12.75"/>
    <row r="69" spans="1:5" s="19" customFormat="1" ht="12.75">
      <c r="A69" s="18" t="s">
        <v>127</v>
      </c>
      <c r="B69" s="18"/>
      <c r="C69" s="18" t="s">
        <v>36</v>
      </c>
      <c r="D69" s="18"/>
      <c r="E69" s="18"/>
    </row>
    <row r="70" s="19" customFormat="1" ht="12.75"/>
    <row r="71" spans="3:16" s="19" customFormat="1" ht="25.5" customHeight="1">
      <c r="C71" s="372" t="s">
        <v>382</v>
      </c>
      <c r="D71" s="372"/>
      <c r="E71" s="372"/>
      <c r="F71" s="372"/>
      <c r="G71" s="372"/>
      <c r="H71" s="372"/>
      <c r="I71" s="372"/>
      <c r="J71" s="372"/>
      <c r="K71" s="372"/>
      <c r="L71" s="372"/>
      <c r="M71" s="372"/>
      <c r="N71" s="372"/>
      <c r="O71" s="372"/>
      <c r="P71" s="372"/>
    </row>
    <row r="72" s="19" customFormat="1" ht="12.75">
      <c r="A72" s="18"/>
    </row>
    <row r="73" s="19" customFormat="1" ht="12.75">
      <c r="A73" s="18"/>
    </row>
    <row r="74" spans="1:3" s="19" customFormat="1" ht="12.75">
      <c r="A74" s="18" t="s">
        <v>192</v>
      </c>
      <c r="C74" s="18" t="s">
        <v>193</v>
      </c>
    </row>
    <row r="75" spans="1:3" s="19" customFormat="1" ht="12.75">
      <c r="A75" s="18"/>
      <c r="C75" s="18"/>
    </row>
    <row r="76" spans="1:16" s="19" customFormat="1" ht="28.5" customHeight="1">
      <c r="A76" s="18"/>
      <c r="C76" s="372" t="s">
        <v>278</v>
      </c>
      <c r="D76" s="372"/>
      <c r="E76" s="372"/>
      <c r="F76" s="372"/>
      <c r="G76" s="372"/>
      <c r="H76" s="372"/>
      <c r="I76" s="372"/>
      <c r="J76" s="372"/>
      <c r="K76" s="372"/>
      <c r="L76" s="372"/>
      <c r="M76" s="372"/>
      <c r="N76" s="372"/>
      <c r="O76" s="372"/>
      <c r="P76" s="372"/>
    </row>
    <row r="77" spans="1:3" s="19" customFormat="1" ht="12.75">
      <c r="A77" s="18"/>
      <c r="C77" s="18"/>
    </row>
    <row r="78" spans="1:3" s="19" customFormat="1" ht="12.75">
      <c r="A78" s="18"/>
      <c r="C78" s="18"/>
    </row>
    <row r="79" spans="1:3" s="19" customFormat="1" ht="12.75">
      <c r="A79" s="18" t="s">
        <v>194</v>
      </c>
      <c r="C79" s="18" t="s">
        <v>272</v>
      </c>
    </row>
    <row r="80" spans="1:3" s="19" customFormat="1" ht="12.75">
      <c r="A80" s="18"/>
      <c r="C80" s="18"/>
    </row>
    <row r="81" spans="1:16" s="19" customFormat="1" ht="26.25" customHeight="1">
      <c r="A81" s="18"/>
      <c r="C81" s="372" t="s">
        <v>279</v>
      </c>
      <c r="D81" s="372"/>
      <c r="E81" s="372"/>
      <c r="F81" s="372"/>
      <c r="G81" s="372"/>
      <c r="H81" s="372"/>
      <c r="I81" s="372"/>
      <c r="J81" s="372"/>
      <c r="K81" s="372"/>
      <c r="L81" s="372"/>
      <c r="M81" s="372"/>
      <c r="N81" s="372"/>
      <c r="O81" s="372"/>
      <c r="P81" s="372"/>
    </row>
    <row r="82" s="19" customFormat="1" ht="12.75">
      <c r="A82" s="18"/>
    </row>
    <row r="83" s="19" customFormat="1" ht="8.25" customHeight="1"/>
    <row r="84" spans="1:5" s="19" customFormat="1" ht="12.75">
      <c r="A84" s="18" t="s">
        <v>195</v>
      </c>
      <c r="B84" s="18"/>
      <c r="C84" s="18" t="s">
        <v>150</v>
      </c>
      <c r="D84" s="18"/>
      <c r="E84" s="18"/>
    </row>
    <row r="85" s="19" customFormat="1" ht="12.75"/>
    <row r="86" spans="3:16" s="19" customFormat="1" ht="23.25" customHeight="1">
      <c r="C86" s="372" t="s">
        <v>294</v>
      </c>
      <c r="D86" s="372"/>
      <c r="E86" s="372"/>
      <c r="F86" s="372"/>
      <c r="G86" s="372"/>
      <c r="H86" s="372"/>
      <c r="I86" s="372"/>
      <c r="J86" s="372"/>
      <c r="K86" s="372"/>
      <c r="L86" s="372"/>
      <c r="M86" s="372"/>
      <c r="N86" s="372"/>
      <c r="O86" s="372"/>
      <c r="P86" s="372"/>
    </row>
    <row r="87" spans="3:16" s="19" customFormat="1" ht="23.25" customHeight="1">
      <c r="C87" s="59" t="s">
        <v>98</v>
      </c>
      <c r="D87" s="376" t="s">
        <v>307</v>
      </c>
      <c r="E87" s="376"/>
      <c r="F87" s="376"/>
      <c r="G87" s="376"/>
      <c r="H87" s="376"/>
      <c r="I87" s="376"/>
      <c r="J87" s="376"/>
      <c r="K87" s="376"/>
      <c r="L87" s="376"/>
      <c r="M87" s="376"/>
      <c r="N87" s="376"/>
      <c r="O87" s="376"/>
      <c r="P87" s="59"/>
    </row>
    <row r="88" spans="3:16" s="207" customFormat="1" ht="27.75" customHeight="1">
      <c r="C88" s="62"/>
      <c r="E88" s="143" t="s">
        <v>295</v>
      </c>
      <c r="F88" s="142"/>
      <c r="G88" s="371" t="s">
        <v>313</v>
      </c>
      <c r="H88" s="371"/>
      <c r="I88" s="122"/>
      <c r="K88" s="62"/>
      <c r="L88" s="62"/>
      <c r="M88" s="62"/>
      <c r="N88" s="62"/>
      <c r="O88" s="62"/>
      <c r="P88" s="62"/>
    </row>
    <row r="89" spans="3:16" s="207" customFormat="1" ht="6.75" customHeight="1">
      <c r="C89" s="62"/>
      <c r="E89" s="122"/>
      <c r="F89" s="62"/>
      <c r="G89" s="122"/>
      <c r="H89" s="122"/>
      <c r="I89" s="122"/>
      <c r="K89" s="62"/>
      <c r="L89" s="62"/>
      <c r="M89" s="62"/>
      <c r="N89" s="62"/>
      <c r="O89" s="62"/>
      <c r="P89" s="62"/>
    </row>
    <row r="90" spans="3:16" s="19" customFormat="1" ht="12.75">
      <c r="C90" s="59"/>
      <c r="D90" s="373">
        <v>2.13</v>
      </c>
      <c r="E90" s="373"/>
      <c r="F90" s="59"/>
      <c r="G90" s="268"/>
      <c r="H90" s="268">
        <f>170+44+24+126</f>
        <v>364</v>
      </c>
      <c r="I90" s="268">
        <v>170000</v>
      </c>
      <c r="K90" s="59"/>
      <c r="L90" s="370"/>
      <c r="M90" s="370"/>
      <c r="N90" s="370"/>
      <c r="O90" s="59"/>
      <c r="P90" s="59"/>
    </row>
    <row r="91" spans="3:16" s="19" customFormat="1" ht="12.75">
      <c r="C91" s="59"/>
      <c r="D91" s="373">
        <v>2.2</v>
      </c>
      <c r="E91" s="373"/>
      <c r="F91" s="59"/>
      <c r="G91" s="268"/>
      <c r="H91" s="268">
        <v>689</v>
      </c>
      <c r="I91" s="268">
        <f>280000+409000</f>
        <v>689000</v>
      </c>
      <c r="K91" s="59"/>
      <c r="L91" s="370"/>
      <c r="M91" s="370"/>
      <c r="N91" s="370"/>
      <c r="O91" s="59"/>
      <c r="P91" s="59"/>
    </row>
    <row r="92" spans="3:16" s="19" customFormat="1" ht="12.75">
      <c r="C92" s="59"/>
      <c r="D92" s="267"/>
      <c r="E92" s="267">
        <v>2.37</v>
      </c>
      <c r="F92" s="59"/>
      <c r="G92" s="268"/>
      <c r="H92" s="268">
        <f>49+32+7</f>
        <v>88</v>
      </c>
      <c r="I92" s="268"/>
      <c r="K92" s="59"/>
      <c r="L92" s="370"/>
      <c r="M92" s="370"/>
      <c r="N92" s="370"/>
      <c r="O92" s="59"/>
      <c r="P92" s="59"/>
    </row>
    <row r="93" spans="3:16" s="19" customFormat="1" ht="12.75">
      <c r="C93" s="59"/>
      <c r="D93" s="267"/>
      <c r="E93" s="267">
        <v>2.42</v>
      </c>
      <c r="F93" s="59"/>
      <c r="G93" s="268"/>
      <c r="H93" s="268">
        <v>17</v>
      </c>
      <c r="I93" s="268"/>
      <c r="K93" s="59"/>
      <c r="L93" s="370"/>
      <c r="M93" s="370"/>
      <c r="N93" s="370"/>
      <c r="O93" s="59"/>
      <c r="P93" s="59"/>
    </row>
    <row r="94" spans="3:16" s="19" customFormat="1" ht="12.75">
      <c r="C94" s="59"/>
      <c r="D94" s="267"/>
      <c r="E94" s="267">
        <v>2.45</v>
      </c>
      <c r="F94" s="59"/>
      <c r="G94" s="268"/>
      <c r="H94" s="268">
        <v>326</v>
      </c>
      <c r="I94" s="268"/>
      <c r="K94" s="59"/>
      <c r="L94" s="370"/>
      <c r="M94" s="370"/>
      <c r="N94" s="370"/>
      <c r="O94" s="59"/>
      <c r="P94" s="59"/>
    </row>
    <row r="95" spans="3:16" s="19" customFormat="1" ht="12.75">
      <c r="C95" s="59"/>
      <c r="D95" s="267"/>
      <c r="E95" s="267">
        <v>2.61</v>
      </c>
      <c r="F95" s="59"/>
      <c r="G95" s="268"/>
      <c r="H95" s="268">
        <f>100+13+26</f>
        <v>139</v>
      </c>
      <c r="I95" s="268"/>
      <c r="K95" s="59"/>
      <c r="L95" s="370"/>
      <c r="M95" s="370"/>
      <c r="N95" s="370"/>
      <c r="O95" s="59"/>
      <c r="P95" s="59"/>
    </row>
    <row r="96" spans="3:16" s="19" customFormat="1" ht="12.75">
      <c r="C96" s="59"/>
      <c r="D96" s="373">
        <v>2.7</v>
      </c>
      <c r="E96" s="373"/>
      <c r="F96" s="59"/>
      <c r="G96" s="268"/>
      <c r="H96" s="268">
        <v>490</v>
      </c>
      <c r="I96" s="268"/>
      <c r="K96" s="59"/>
      <c r="L96" s="370"/>
      <c r="M96" s="370"/>
      <c r="N96" s="370"/>
      <c r="O96" s="59"/>
      <c r="P96" s="59"/>
    </row>
    <row r="97" spans="3:16" s="19" customFormat="1" ht="12.75">
      <c r="C97" s="59"/>
      <c r="D97" s="373">
        <v>2.71</v>
      </c>
      <c r="E97" s="373"/>
      <c r="F97" s="59"/>
      <c r="G97" s="268"/>
      <c r="H97" s="268">
        <f>16+200+100</f>
        <v>316</v>
      </c>
      <c r="I97" s="268"/>
      <c r="K97" s="59"/>
      <c r="L97" s="370"/>
      <c r="M97" s="370"/>
      <c r="N97" s="370"/>
      <c r="O97" s="59"/>
      <c r="P97" s="59"/>
    </row>
    <row r="98" spans="3:16" s="19" customFormat="1" ht="12.75">
      <c r="C98" s="59"/>
      <c r="D98" s="373">
        <v>2.8</v>
      </c>
      <c r="E98" s="373"/>
      <c r="F98" s="59"/>
      <c r="G98" s="268"/>
      <c r="H98" s="268">
        <v>785</v>
      </c>
      <c r="I98" s="268"/>
      <c r="K98" s="59"/>
      <c r="L98" s="370"/>
      <c r="M98" s="370"/>
      <c r="N98" s="370"/>
      <c r="O98" s="59"/>
      <c r="P98" s="59"/>
    </row>
    <row r="99" spans="3:16" s="19" customFormat="1" ht="12.75">
      <c r="C99" s="59"/>
      <c r="D99" s="267"/>
      <c r="E99" s="267">
        <v>3.38</v>
      </c>
      <c r="F99" s="59"/>
      <c r="G99" s="268"/>
      <c r="H99" s="268">
        <v>110</v>
      </c>
      <c r="I99" s="268"/>
      <c r="K99" s="59"/>
      <c r="L99" s="268"/>
      <c r="M99" s="268"/>
      <c r="N99" s="268"/>
      <c r="O99" s="59"/>
      <c r="P99" s="59"/>
    </row>
    <row r="100" spans="3:16" s="19" customFormat="1" ht="12.75">
      <c r="C100" s="59"/>
      <c r="D100" s="373">
        <v>3.58</v>
      </c>
      <c r="E100" s="373"/>
      <c r="F100" s="59"/>
      <c r="G100" s="268"/>
      <c r="H100" s="268">
        <f>270+97+46+143</f>
        <v>556</v>
      </c>
      <c r="I100" s="268"/>
      <c r="K100" s="59"/>
      <c r="L100" s="370"/>
      <c r="M100" s="370"/>
      <c r="N100" s="370"/>
      <c r="O100" s="59"/>
      <c r="P100" s="59"/>
    </row>
    <row r="101" spans="3:16" s="19" customFormat="1" ht="12.75">
      <c r="C101" s="59"/>
      <c r="D101" s="373">
        <v>3.7</v>
      </c>
      <c r="E101" s="373"/>
      <c r="F101" s="59"/>
      <c r="G101" s="268"/>
      <c r="H101" s="268">
        <v>1654</v>
      </c>
      <c r="I101" s="268"/>
      <c r="K101" s="59"/>
      <c r="L101" s="370"/>
      <c r="M101" s="370"/>
      <c r="N101" s="370"/>
      <c r="O101" s="59"/>
      <c r="P101" s="59"/>
    </row>
    <row r="102" spans="3:16" s="19" customFormat="1" ht="12.75">
      <c r="C102" s="59"/>
      <c r="D102" s="373">
        <v>3.77</v>
      </c>
      <c r="E102" s="373"/>
      <c r="F102" s="59"/>
      <c r="G102" s="268"/>
      <c r="H102" s="268">
        <f>80+46+35+78</f>
        <v>239</v>
      </c>
      <c r="I102" s="268"/>
      <c r="K102" s="59"/>
      <c r="L102" s="370"/>
      <c r="M102" s="370"/>
      <c r="N102" s="370"/>
      <c r="O102" s="59"/>
      <c r="P102" s="59"/>
    </row>
    <row r="103" spans="3:16" s="19" customFormat="1" ht="12.75">
      <c r="C103" s="59"/>
      <c r="D103" s="373">
        <v>3.9</v>
      </c>
      <c r="E103" s="373"/>
      <c r="F103" s="59"/>
      <c r="G103" s="279"/>
      <c r="H103" s="273">
        <v>470</v>
      </c>
      <c r="I103" s="268"/>
      <c r="K103" s="59"/>
      <c r="L103" s="370"/>
      <c r="M103" s="370"/>
      <c r="N103" s="370"/>
      <c r="O103" s="59"/>
      <c r="P103" s="59"/>
    </row>
    <row r="104" spans="3:16" s="155" customFormat="1" ht="17.25" customHeight="1">
      <c r="C104" s="269"/>
      <c r="D104" s="344"/>
      <c r="E104" s="344"/>
      <c r="F104" s="269"/>
      <c r="G104" s="156"/>
      <c r="H104" s="272">
        <f>SUM(G90:H103)</f>
        <v>6243</v>
      </c>
      <c r="I104" s="270"/>
      <c r="K104" s="269"/>
      <c r="L104" s="269"/>
      <c r="M104" s="269"/>
      <c r="N104" s="269"/>
      <c r="O104" s="269"/>
      <c r="P104" s="269"/>
    </row>
    <row r="105" spans="3:16" s="19" customFormat="1" ht="23.25" customHeight="1">
      <c r="C105" s="59"/>
      <c r="D105" s="267"/>
      <c r="E105" s="267"/>
      <c r="F105" s="59"/>
      <c r="G105" s="59"/>
      <c r="H105" s="59"/>
      <c r="I105" s="59"/>
      <c r="J105" s="59"/>
      <c r="K105" s="59"/>
      <c r="L105" s="59"/>
      <c r="M105" s="59"/>
      <c r="N105" s="59"/>
      <c r="O105" s="59"/>
      <c r="P105" s="59"/>
    </row>
    <row r="106" spans="3:16" s="136" customFormat="1" ht="15.75" customHeight="1">
      <c r="C106" s="136" t="s">
        <v>99</v>
      </c>
      <c r="D106" s="372" t="s">
        <v>324</v>
      </c>
      <c r="E106" s="372"/>
      <c r="F106" s="372"/>
      <c r="G106" s="372"/>
      <c r="H106" s="372"/>
      <c r="I106" s="372"/>
      <c r="J106" s="372"/>
      <c r="K106" s="372"/>
      <c r="L106" s="372"/>
      <c r="M106" s="372"/>
      <c r="N106" s="372"/>
      <c r="O106" s="372"/>
      <c r="P106" s="372"/>
    </row>
    <row r="107" spans="4:16" s="136" customFormat="1" ht="12.75">
      <c r="D107" s="59"/>
      <c r="E107" s="59"/>
      <c r="F107" s="59"/>
      <c r="G107" s="59"/>
      <c r="H107" s="59"/>
      <c r="I107" s="59"/>
      <c r="J107" s="59"/>
      <c r="K107" s="59"/>
      <c r="L107" s="59"/>
      <c r="M107" s="59"/>
      <c r="N107" s="59"/>
      <c r="O107" s="59"/>
      <c r="P107" s="59"/>
    </row>
    <row r="108" spans="3:16" s="207" customFormat="1" ht="27.75" customHeight="1">
      <c r="C108" s="62"/>
      <c r="E108" s="143" t="s">
        <v>296</v>
      </c>
      <c r="F108" s="142"/>
      <c r="G108" s="371" t="s">
        <v>313</v>
      </c>
      <c r="H108" s="371"/>
      <c r="K108" s="62"/>
      <c r="L108" s="62"/>
      <c r="M108" s="62"/>
      <c r="N108" s="62"/>
      <c r="O108" s="62"/>
      <c r="P108" s="62"/>
    </row>
    <row r="109" spans="3:16" s="207" customFormat="1" ht="5.25" customHeight="1">
      <c r="C109" s="62"/>
      <c r="E109" s="143"/>
      <c r="F109" s="142"/>
      <c r="G109" s="143"/>
      <c r="H109" s="143"/>
      <c r="K109" s="62"/>
      <c r="L109" s="62"/>
      <c r="M109" s="62"/>
      <c r="N109" s="62"/>
      <c r="O109" s="62"/>
      <c r="P109" s="62"/>
    </row>
    <row r="110" spans="3:16" s="19" customFormat="1" ht="12.75">
      <c r="C110" s="59"/>
      <c r="D110" s="373">
        <v>3.25</v>
      </c>
      <c r="E110" s="373"/>
      <c r="F110" s="59"/>
      <c r="H110" s="268">
        <f>2382+110045</f>
        <v>112427</v>
      </c>
      <c r="K110" s="59"/>
      <c r="L110" s="370"/>
      <c r="M110" s="370"/>
      <c r="N110" s="370"/>
      <c r="O110" s="59"/>
      <c r="P110" s="59"/>
    </row>
    <row r="111" spans="3:16" s="19" customFormat="1" ht="12.75">
      <c r="C111" s="59"/>
      <c r="D111" s="267"/>
      <c r="E111" s="267">
        <v>3.35</v>
      </c>
      <c r="F111" s="59"/>
      <c r="H111" s="268">
        <f>41274</f>
        <v>41274</v>
      </c>
      <c r="K111" s="59"/>
      <c r="L111" s="268"/>
      <c r="M111" s="268"/>
      <c r="N111" s="268"/>
      <c r="O111" s="59"/>
      <c r="P111" s="59"/>
    </row>
    <row r="112" spans="3:16" s="19" customFormat="1" ht="15.75" customHeight="1">
      <c r="C112" s="59"/>
      <c r="D112" s="267"/>
      <c r="E112" s="267"/>
      <c r="F112" s="59"/>
      <c r="H112" s="274">
        <f>SUM(H110:H111)</f>
        <v>153701</v>
      </c>
      <c r="K112" s="59"/>
      <c r="L112" s="268"/>
      <c r="M112" s="268"/>
      <c r="N112" s="268"/>
      <c r="O112" s="59"/>
      <c r="P112" s="59"/>
    </row>
    <row r="113" spans="3:16" s="19" customFormat="1" ht="12.75">
      <c r="C113" s="59"/>
      <c r="D113" s="59"/>
      <c r="E113" s="62"/>
      <c r="F113" s="62"/>
      <c r="G113" s="62"/>
      <c r="H113" s="62"/>
      <c r="I113" s="62"/>
      <c r="J113" s="62"/>
      <c r="K113" s="62"/>
      <c r="L113" s="62"/>
      <c r="M113" s="62"/>
      <c r="N113" s="62"/>
      <c r="O113" s="62"/>
      <c r="P113" s="62"/>
    </row>
    <row r="114" spans="3:16" s="19" customFormat="1" ht="63.75" customHeight="1">
      <c r="C114" s="372" t="s">
        <v>362</v>
      </c>
      <c r="D114" s="372"/>
      <c r="E114" s="372"/>
      <c r="F114" s="372"/>
      <c r="G114" s="372"/>
      <c r="H114" s="372"/>
      <c r="I114" s="372"/>
      <c r="J114" s="372"/>
      <c r="K114" s="372"/>
      <c r="L114" s="372"/>
      <c r="M114" s="372"/>
      <c r="N114" s="372"/>
      <c r="O114" s="372"/>
      <c r="P114" s="372"/>
    </row>
    <row r="115" s="19" customFormat="1" ht="12.75"/>
    <row r="116" s="19" customFormat="1" ht="12.75"/>
    <row r="117" spans="1:3" s="19" customFormat="1" ht="12.75">
      <c r="A117" s="18" t="s">
        <v>196</v>
      </c>
      <c r="B117" s="18"/>
      <c r="C117" s="18" t="s">
        <v>199</v>
      </c>
    </row>
    <row r="118" spans="1:3" s="19" customFormat="1" ht="12.75">
      <c r="A118" s="18"/>
      <c r="B118" s="18"/>
      <c r="C118" s="18"/>
    </row>
    <row r="119" spans="3:16" ht="42">
      <c r="C119" s="136"/>
      <c r="D119" s="136"/>
      <c r="E119" s="136"/>
      <c r="F119" s="136"/>
      <c r="G119" s="136"/>
      <c r="H119" s="150"/>
      <c r="I119" s="150"/>
      <c r="J119" s="245"/>
      <c r="K119" s="245"/>
      <c r="L119" s="245"/>
      <c r="M119" s="83"/>
      <c r="N119" s="134" t="s">
        <v>91</v>
      </c>
      <c r="O119" s="134"/>
      <c r="P119" s="134" t="s">
        <v>10</v>
      </c>
    </row>
    <row r="120" spans="3:16" ht="12.75">
      <c r="C120" s="136"/>
      <c r="D120" s="136"/>
      <c r="E120" s="136"/>
      <c r="F120" s="136"/>
      <c r="G120" s="136"/>
      <c r="H120" s="128"/>
      <c r="I120" s="128"/>
      <c r="J120" s="100"/>
      <c r="K120" s="100"/>
      <c r="L120" s="100"/>
      <c r="M120" s="128"/>
      <c r="N120" s="97" t="s">
        <v>7</v>
      </c>
      <c r="O120" s="97"/>
      <c r="P120" s="97" t="s">
        <v>7</v>
      </c>
    </row>
    <row r="121" spans="3:16" ht="12.75">
      <c r="C121" s="136"/>
      <c r="D121" s="136"/>
      <c r="E121" s="136"/>
      <c r="F121" s="136"/>
      <c r="G121" s="136"/>
      <c r="H121" s="62"/>
      <c r="I121" s="62"/>
      <c r="J121" s="151"/>
      <c r="K121" s="151"/>
      <c r="L121" s="98"/>
      <c r="M121" s="62"/>
      <c r="N121" s="62"/>
      <c r="O121" s="62"/>
      <c r="P121" s="98"/>
    </row>
    <row r="122" spans="3:16" ht="12.75">
      <c r="C122" s="374" t="s">
        <v>370</v>
      </c>
      <c r="D122" s="374"/>
      <c r="E122" s="374"/>
      <c r="F122" s="374"/>
      <c r="G122" s="374"/>
      <c r="H122" s="374"/>
      <c r="I122" s="62"/>
      <c r="J122" s="151"/>
      <c r="K122" s="151"/>
      <c r="L122" s="98"/>
      <c r="M122" s="62"/>
      <c r="N122" s="62"/>
      <c r="O122" s="62"/>
      <c r="P122" s="98"/>
    </row>
    <row r="123" spans="3:16" ht="12.75">
      <c r="C123" s="375" t="s">
        <v>314</v>
      </c>
      <c r="D123" s="375"/>
      <c r="E123" s="375"/>
      <c r="F123" s="375"/>
      <c r="G123" s="375"/>
      <c r="H123" s="375"/>
      <c r="I123" s="375"/>
      <c r="J123" s="375"/>
      <c r="K123" s="152"/>
      <c r="L123" s="153"/>
      <c r="M123" s="151"/>
      <c r="N123" s="152">
        <v>59907</v>
      </c>
      <c r="O123" s="152"/>
      <c r="P123" s="153">
        <v>0</v>
      </c>
    </row>
    <row r="124" spans="3:16" ht="12.75">
      <c r="C124" s="374" t="s">
        <v>371</v>
      </c>
      <c r="D124" s="374"/>
      <c r="E124" s="374"/>
      <c r="F124" s="374"/>
      <c r="G124" s="374"/>
      <c r="H124" s="374"/>
      <c r="I124" s="151"/>
      <c r="J124" s="152"/>
      <c r="K124" s="152"/>
      <c r="L124" s="153"/>
      <c r="M124" s="151"/>
      <c r="N124" s="152"/>
      <c r="O124" s="152"/>
      <c r="P124" s="153"/>
    </row>
    <row r="125" spans="3:16" ht="12.75">
      <c r="C125" s="375" t="s">
        <v>315</v>
      </c>
      <c r="D125" s="375"/>
      <c r="E125" s="375"/>
      <c r="F125" s="375"/>
      <c r="G125" s="375"/>
      <c r="H125" s="375"/>
      <c r="I125" s="375"/>
      <c r="J125" s="375"/>
      <c r="K125" s="152"/>
      <c r="L125" s="153"/>
      <c r="M125" s="151"/>
      <c r="N125" s="152">
        <v>0</v>
      </c>
      <c r="O125" s="152"/>
      <c r="P125" s="153">
        <v>45488</v>
      </c>
    </row>
    <row r="126" spans="3:16" ht="12.75">
      <c r="C126" s="374" t="s">
        <v>372</v>
      </c>
      <c r="D126" s="374"/>
      <c r="E126" s="374"/>
      <c r="F126" s="374"/>
      <c r="G126" s="374"/>
      <c r="H126" s="374"/>
      <c r="I126" s="151"/>
      <c r="J126" s="152"/>
      <c r="K126" s="152"/>
      <c r="L126" s="153"/>
      <c r="M126" s="151"/>
      <c r="N126" s="152"/>
      <c r="O126" s="152"/>
      <c r="P126" s="153"/>
    </row>
    <row r="127" spans="3:16" ht="12.75">
      <c r="C127" s="375" t="s">
        <v>373</v>
      </c>
      <c r="D127" s="375"/>
      <c r="E127" s="375"/>
      <c r="F127" s="375"/>
      <c r="G127" s="375"/>
      <c r="H127" s="375"/>
      <c r="I127" s="375"/>
      <c r="J127" s="375"/>
      <c r="K127" s="152"/>
      <c r="L127" s="153"/>
      <c r="M127" s="151"/>
      <c r="N127" s="152">
        <v>0</v>
      </c>
      <c r="O127" s="152"/>
      <c r="P127" s="153">
        <v>37340</v>
      </c>
    </row>
    <row r="128" spans="3:18" ht="13.5" thickBot="1">
      <c r="C128" s="155"/>
      <c r="D128" s="155"/>
      <c r="E128" s="155"/>
      <c r="F128" s="155"/>
      <c r="G128" s="155"/>
      <c r="H128" s="156"/>
      <c r="I128" s="156"/>
      <c r="J128" s="246"/>
      <c r="K128" s="246"/>
      <c r="L128" s="247"/>
      <c r="M128" s="156"/>
      <c r="N128" s="157">
        <f>SUM(N123:N127)</f>
        <v>59907</v>
      </c>
      <c r="O128" s="157">
        <f>SUM(O123:O127)</f>
        <v>0</v>
      </c>
      <c r="P128" s="158">
        <f>SUM(P123:P127)</f>
        <v>82828</v>
      </c>
      <c r="Q128" s="157">
        <f>SUM(Q123:Q127)</f>
        <v>0</v>
      </c>
      <c r="R128" s="246">
        <f>SUM(R123:R127)</f>
        <v>0</v>
      </c>
    </row>
  </sheetData>
  <mergeCells count="52">
    <mergeCell ref="C124:H124"/>
    <mergeCell ref="C123:J123"/>
    <mergeCell ref="C125:J125"/>
    <mergeCell ref="D36:R36"/>
    <mergeCell ref="D90:E90"/>
    <mergeCell ref="D91:E91"/>
    <mergeCell ref="D96:E96"/>
    <mergeCell ref="D104:E104"/>
    <mergeCell ref="D97:E97"/>
    <mergeCell ref="D100:E100"/>
    <mergeCell ref="C122:H122"/>
    <mergeCell ref="C114:P114"/>
    <mergeCell ref="D30:P30"/>
    <mergeCell ref="C71:P71"/>
    <mergeCell ref="C76:P76"/>
    <mergeCell ref="C81:P81"/>
    <mergeCell ref="C86:P86"/>
    <mergeCell ref="D87:O87"/>
    <mergeCell ref="D102:E102"/>
    <mergeCell ref="D101:E101"/>
    <mergeCell ref="A1:P1"/>
    <mergeCell ref="A2:P2"/>
    <mergeCell ref="C11:P11"/>
    <mergeCell ref="C13:P13"/>
    <mergeCell ref="L102:N102"/>
    <mergeCell ref="L92:N92"/>
    <mergeCell ref="D15:P15"/>
    <mergeCell ref="D38:R38"/>
    <mergeCell ref="D40:R40"/>
    <mergeCell ref="D34:P34"/>
    <mergeCell ref="D26:P26"/>
    <mergeCell ref="D32:P32"/>
    <mergeCell ref="G88:H88"/>
    <mergeCell ref="L96:N96"/>
    <mergeCell ref="C126:H126"/>
    <mergeCell ref="C127:J127"/>
    <mergeCell ref="L90:N90"/>
    <mergeCell ref="L91:N91"/>
    <mergeCell ref="L93:N93"/>
    <mergeCell ref="D103:E103"/>
    <mergeCell ref="D98:E98"/>
    <mergeCell ref="L97:N97"/>
    <mergeCell ref="L98:N98"/>
    <mergeCell ref="L103:N103"/>
    <mergeCell ref="G108:H108"/>
    <mergeCell ref="D106:P106"/>
    <mergeCell ref="D110:E110"/>
    <mergeCell ref="L110:N110"/>
    <mergeCell ref="L100:N100"/>
    <mergeCell ref="L101:N101"/>
    <mergeCell ref="L94:N94"/>
    <mergeCell ref="L95:N95"/>
  </mergeCells>
  <printOptions/>
  <pageMargins left="0.91" right="0.38" top="1.34" bottom="1.17" header="0.38" footer="1"/>
  <pageSetup horizontalDpi="300" verticalDpi="300" orientation="portrait" paperSize="9" scale="94" r:id="rId1"/>
  <headerFooter alignWithMargins="0">
    <oddFooter>&amp;C&amp;"Times New Roman,Regular"&amp;7- Page &amp;P+4 -</oddFooter>
  </headerFooter>
  <rowBreaks count="1" manualBreakCount="1">
    <brk id="116" max="255" man="1"/>
  </rowBreaks>
</worksheet>
</file>

<file path=xl/worksheets/sheet6.xml><?xml version="1.0" encoding="utf-8"?>
<worksheet xmlns="http://schemas.openxmlformats.org/spreadsheetml/2006/main" xmlns:r="http://schemas.openxmlformats.org/officeDocument/2006/relationships">
  <dimension ref="A1:O72"/>
  <sheetViews>
    <sheetView showGridLines="0" workbookViewId="0" topLeftCell="A1">
      <selection activeCell="A1" sqref="A1:I1"/>
    </sheetView>
  </sheetViews>
  <sheetFormatPr defaultColWidth="9.140625" defaultRowHeight="12.75"/>
  <cols>
    <col min="1" max="1" width="2.8515625" style="1" customWidth="1"/>
    <col min="2" max="2" width="20.421875" style="1" customWidth="1"/>
    <col min="3" max="3" width="9.140625" style="1" customWidth="1"/>
    <col min="4" max="4" width="10.8515625" style="1" customWidth="1"/>
    <col min="5" max="5" width="9.140625" style="1" customWidth="1"/>
    <col min="6" max="6" width="12.8515625" style="1" customWidth="1"/>
    <col min="7" max="7" width="9.57421875" style="19" customWidth="1"/>
    <col min="8" max="8" width="10.8515625" style="19" customWidth="1"/>
    <col min="9" max="9" width="10.7109375" style="19" customWidth="1"/>
    <col min="10" max="10" width="13.28125" style="19" customWidth="1"/>
    <col min="11" max="11" width="0.9921875" style="1" customWidth="1"/>
    <col min="12" max="12" width="11.8515625" style="19" customWidth="1"/>
    <col min="13" max="13" width="0.9921875" style="1" customWidth="1"/>
    <col min="14" max="14" width="13.421875" style="1" customWidth="1"/>
    <col min="15" max="15" width="11.28125" style="1" hidden="1" customWidth="1"/>
    <col min="16" max="16" width="1.28515625" style="1" customWidth="1"/>
    <col min="17" max="16384" width="9.140625" style="1" customWidth="1"/>
  </cols>
  <sheetData>
    <row r="1" spans="1:15" s="19" customFormat="1" ht="18.75">
      <c r="A1" s="377" t="s">
        <v>93</v>
      </c>
      <c r="B1" s="377"/>
      <c r="C1" s="377"/>
      <c r="D1" s="377"/>
      <c r="E1" s="377"/>
      <c r="F1" s="377"/>
      <c r="G1" s="377"/>
      <c r="H1" s="377"/>
      <c r="I1" s="377"/>
      <c r="J1" s="137"/>
      <c r="K1" s="137"/>
      <c r="L1" s="137"/>
      <c r="M1" s="137"/>
      <c r="N1" s="137"/>
      <c r="O1" s="137"/>
    </row>
    <row r="2" spans="1:15" s="19" customFormat="1" ht="12.75">
      <c r="A2" s="343" t="s">
        <v>5</v>
      </c>
      <c r="B2" s="343"/>
      <c r="C2" s="343"/>
      <c r="D2" s="343"/>
      <c r="E2" s="343"/>
      <c r="F2" s="343"/>
      <c r="G2" s="343"/>
      <c r="H2" s="343"/>
      <c r="I2" s="343"/>
      <c r="J2" s="233"/>
      <c r="K2" s="233"/>
      <c r="L2" s="233"/>
      <c r="M2" s="233"/>
      <c r="N2" s="233"/>
      <c r="O2" s="138"/>
    </row>
    <row r="3" s="19" customFormat="1" ht="12.75">
      <c r="N3" s="18"/>
    </row>
    <row r="4" spans="1:14" s="19" customFormat="1" ht="14.25">
      <c r="A4" s="139" t="str">
        <f>'IS'!A4</f>
        <v>Interim report for the financial period ended 31 March 2003</v>
      </c>
      <c r="N4" s="18"/>
    </row>
    <row r="5" spans="1:14" s="19" customFormat="1" ht="12.75">
      <c r="A5" s="140" t="s">
        <v>125</v>
      </c>
      <c r="N5" s="18"/>
    </row>
    <row r="6" spans="1:13" s="80" customFormat="1" ht="12.75">
      <c r="A6" s="89"/>
      <c r="B6" s="89"/>
      <c r="C6" s="89"/>
      <c r="D6" s="141"/>
      <c r="E6" s="89"/>
      <c r="F6" s="89"/>
      <c r="G6" s="89"/>
      <c r="H6" s="89"/>
      <c r="I6" s="89"/>
      <c r="J6" s="89"/>
      <c r="K6" s="89"/>
      <c r="L6" s="89"/>
      <c r="M6" s="89"/>
    </row>
    <row r="7" s="19" customFormat="1" ht="12.75">
      <c r="A7" s="18" t="s">
        <v>224</v>
      </c>
    </row>
    <row r="8" s="19" customFormat="1" ht="12.75"/>
    <row r="9" spans="1:2" s="19" customFormat="1" ht="12.75">
      <c r="A9" s="18" t="s">
        <v>197</v>
      </c>
      <c r="B9" s="18" t="s">
        <v>198</v>
      </c>
    </row>
    <row r="10" ht="6" customHeight="1"/>
    <row r="11" spans="2:12" s="261" customFormat="1" ht="36.75" customHeight="1">
      <c r="B11" s="262"/>
      <c r="C11" s="263" t="s">
        <v>45</v>
      </c>
      <c r="D11" s="263" t="s">
        <v>239</v>
      </c>
      <c r="E11" s="263" t="s">
        <v>240</v>
      </c>
      <c r="F11" s="263" t="s">
        <v>293</v>
      </c>
      <c r="G11" s="263" t="s">
        <v>241</v>
      </c>
      <c r="H11" s="263" t="s">
        <v>242</v>
      </c>
      <c r="I11" s="263" t="s">
        <v>243</v>
      </c>
      <c r="J11" s="264"/>
      <c r="L11" s="264"/>
    </row>
    <row r="12" spans="2:12" s="29" customFormat="1" ht="12">
      <c r="B12" s="248" t="str">
        <f>Sheet1!B6&amp;" Months Ended "&amp;TEXT(Sheet1!B9,"dd/mm/yy")</f>
        <v>9 Months Ended 31/03/03</v>
      </c>
      <c r="C12" s="30"/>
      <c r="D12" s="30"/>
      <c r="E12" s="30"/>
      <c r="F12" s="30"/>
      <c r="G12" s="30"/>
      <c r="H12" s="30"/>
      <c r="I12" s="30"/>
      <c r="J12" s="85"/>
      <c r="L12" s="85"/>
    </row>
    <row r="13" spans="2:12" s="29" customFormat="1" ht="7.5" customHeight="1">
      <c r="B13" s="248"/>
      <c r="C13" s="30"/>
      <c r="D13" s="30"/>
      <c r="E13" s="30"/>
      <c r="F13" s="30"/>
      <c r="G13" s="30"/>
      <c r="H13" s="30"/>
      <c r="I13" s="30"/>
      <c r="J13" s="85"/>
      <c r="L13" s="85"/>
    </row>
    <row r="14" spans="2:12" s="29" customFormat="1" ht="12">
      <c r="B14" s="47" t="s">
        <v>231</v>
      </c>
      <c r="C14" s="249"/>
      <c r="D14" s="249"/>
      <c r="E14" s="249"/>
      <c r="F14" s="249"/>
      <c r="G14" s="249"/>
      <c r="H14" s="249"/>
      <c r="I14" s="31"/>
      <c r="J14" s="85"/>
      <c r="L14" s="85"/>
    </row>
    <row r="15" spans="2:12" s="29" customFormat="1" ht="12">
      <c r="B15" s="188" t="s">
        <v>232</v>
      </c>
      <c r="C15" s="250">
        <f>'[5]Summary'!B10</f>
        <v>424285</v>
      </c>
      <c r="D15" s="250">
        <f>'[5]Summary'!C10</f>
        <v>332534</v>
      </c>
      <c r="E15" s="250">
        <f>'[5]Summary'!D10</f>
        <v>36813</v>
      </c>
      <c r="F15" s="250">
        <f>'[5]Summary'!$E$10+'[5]Summary'!$F$10+'[5]Summary'!$G$13</f>
        <v>1903797</v>
      </c>
      <c r="G15" s="250">
        <f>'[5]Summary'!H10</f>
        <v>72552</v>
      </c>
      <c r="H15" s="250">
        <f>'[5]Summary'!I10</f>
        <v>0</v>
      </c>
      <c r="I15" s="251">
        <f>SUM(C15:H15)</f>
        <v>2769981</v>
      </c>
      <c r="J15" s="85"/>
      <c r="L15" s="85"/>
    </row>
    <row r="16" spans="2:12" s="29" customFormat="1" ht="12">
      <c r="B16" s="188" t="s">
        <v>233</v>
      </c>
      <c r="C16" s="252">
        <f>'[5]Summary'!B12</f>
        <v>396541</v>
      </c>
      <c r="D16" s="252">
        <f>'[5]Summary'!C12</f>
        <v>0</v>
      </c>
      <c r="E16" s="252">
        <f>'[5]Summary'!D12</f>
        <v>0</v>
      </c>
      <c r="F16" s="252">
        <f>'[5]Summary'!$F$12+'[5]Summary'!$E$12-'[5]Workings'!$B$94</f>
        <v>30034</v>
      </c>
      <c r="G16" s="252">
        <f>'[5]Summary'!H12</f>
        <v>0</v>
      </c>
      <c r="H16" s="252">
        <f>'[5]Summary'!I12+'[5]Workings'!$B$94</f>
        <v>-426575</v>
      </c>
      <c r="I16" s="252">
        <f>SUM(C16:H16)</f>
        <v>0</v>
      </c>
      <c r="J16" s="85"/>
      <c r="L16" s="85"/>
    </row>
    <row r="17" spans="2:12" s="29" customFormat="1" ht="12.75" thickBot="1">
      <c r="B17" s="280" t="s">
        <v>234</v>
      </c>
      <c r="C17" s="253">
        <f>SUM(C15:C16)</f>
        <v>820826</v>
      </c>
      <c r="D17" s="253">
        <f aca="true" t="shared" si="0" ref="D17:I17">SUM(D15:D16)</f>
        <v>332534</v>
      </c>
      <c r="E17" s="253">
        <f t="shared" si="0"/>
        <v>36813</v>
      </c>
      <c r="F17" s="253">
        <f>SUM(F15:F16)</f>
        <v>1933831</v>
      </c>
      <c r="G17" s="253">
        <f t="shared" si="0"/>
        <v>72552</v>
      </c>
      <c r="H17" s="253">
        <f t="shared" si="0"/>
        <v>-426575</v>
      </c>
      <c r="I17" s="253">
        <f t="shared" si="0"/>
        <v>2769981</v>
      </c>
      <c r="J17" s="85"/>
      <c r="L17" s="85"/>
    </row>
    <row r="18" spans="3:12" s="29" customFormat="1" ht="9" customHeight="1">
      <c r="C18" s="250"/>
      <c r="D18" s="250"/>
      <c r="E18" s="250"/>
      <c r="F18" s="250"/>
      <c r="G18" s="250"/>
      <c r="H18" s="250"/>
      <c r="I18" s="250"/>
      <c r="J18" s="85"/>
      <c r="L18" s="85"/>
    </row>
    <row r="19" spans="2:12" s="29" customFormat="1" ht="12">
      <c r="B19" s="47" t="s">
        <v>235</v>
      </c>
      <c r="C19" s="250"/>
      <c r="D19" s="250"/>
      <c r="E19" s="250"/>
      <c r="F19" s="250"/>
      <c r="G19" s="250"/>
      <c r="H19" s="250"/>
      <c r="I19" s="250"/>
      <c r="J19" s="85"/>
      <c r="L19" s="85"/>
    </row>
    <row r="20" spans="2:12" s="29" customFormat="1" ht="12">
      <c r="B20" s="188" t="s">
        <v>236</v>
      </c>
      <c r="C20" s="250">
        <f>'[5]Summary'!B16</f>
        <v>380642</v>
      </c>
      <c r="D20" s="250">
        <f>'[5]Summary'!C16</f>
        <v>149893</v>
      </c>
      <c r="E20" s="250">
        <f>'[5]Summary'!D16</f>
        <v>22476</v>
      </c>
      <c r="F20" s="250">
        <f>'[5]Summary'!$E$16+'[5]Summary'!$F$16+'[5]Summary'!$G$16</f>
        <v>70307</v>
      </c>
      <c r="G20" s="250">
        <f>'[5]Summary'!H16</f>
        <v>-4631</v>
      </c>
      <c r="H20" s="250">
        <f>'[5]Summary'!I16</f>
        <v>0</v>
      </c>
      <c r="I20" s="251">
        <f>SUM(C20:H20)</f>
        <v>618687</v>
      </c>
      <c r="J20" s="85"/>
      <c r="L20" s="85"/>
    </row>
    <row r="21" spans="2:12" s="29" customFormat="1" ht="12">
      <c r="B21" s="188" t="s">
        <v>226</v>
      </c>
      <c r="C21" s="251"/>
      <c r="D21" s="251"/>
      <c r="E21" s="251"/>
      <c r="F21" s="251"/>
      <c r="G21" s="251"/>
      <c r="H21" s="251"/>
      <c r="I21" s="252">
        <f>'[5]Summary'!$J$17</f>
        <v>-32992</v>
      </c>
      <c r="J21" s="85"/>
      <c r="L21" s="85"/>
    </row>
    <row r="22" spans="2:12" s="29" customFormat="1" ht="12">
      <c r="B22" s="188" t="s">
        <v>210</v>
      </c>
      <c r="C22" s="251"/>
      <c r="D22" s="251"/>
      <c r="E22" s="251"/>
      <c r="F22" s="251"/>
      <c r="G22" s="251"/>
      <c r="H22" s="251"/>
      <c r="I22" s="250">
        <f>SUM(I20:I21)</f>
        <v>585695</v>
      </c>
      <c r="J22" s="85"/>
      <c r="L22" s="85"/>
    </row>
    <row r="23" spans="1:12" s="29" customFormat="1" ht="12">
      <c r="A23" s="50"/>
      <c r="B23" s="188" t="s">
        <v>135</v>
      </c>
      <c r="C23" s="250"/>
      <c r="D23" s="250"/>
      <c r="E23" s="250"/>
      <c r="F23" s="250"/>
      <c r="G23" s="250"/>
      <c r="H23" s="250"/>
      <c r="I23" s="251">
        <f>'[5]Summary'!$J$19</f>
        <v>-51233</v>
      </c>
      <c r="J23" s="85"/>
      <c r="L23" s="85"/>
    </row>
    <row r="24" spans="2:12" s="29" customFormat="1" ht="12">
      <c r="B24" s="188" t="s">
        <v>168</v>
      </c>
      <c r="C24" s="250"/>
      <c r="D24" s="250"/>
      <c r="E24" s="250"/>
      <c r="F24" s="250"/>
      <c r="G24" s="250"/>
      <c r="H24" s="250"/>
      <c r="I24" s="251">
        <f>'[5]Summary'!$J$20</f>
        <v>13297</v>
      </c>
      <c r="J24" s="85"/>
      <c r="L24" s="85"/>
    </row>
    <row r="25" spans="2:12" s="29" customFormat="1" ht="12">
      <c r="B25" s="188" t="s">
        <v>211</v>
      </c>
      <c r="C25" s="250"/>
      <c r="D25" s="250"/>
      <c r="E25" s="250"/>
      <c r="F25" s="250"/>
      <c r="G25" s="250"/>
      <c r="H25" s="250"/>
      <c r="I25" s="251">
        <f>'[5]Summary'!$J$21</f>
        <v>26265</v>
      </c>
      <c r="J25" s="85"/>
      <c r="L25" s="85"/>
    </row>
    <row r="26" spans="2:12" s="29" customFormat="1" ht="12">
      <c r="B26" s="188" t="s">
        <v>159</v>
      </c>
      <c r="C26" s="251"/>
      <c r="D26" s="251"/>
      <c r="E26" s="251"/>
      <c r="F26" s="251"/>
      <c r="G26" s="251"/>
      <c r="H26" s="251"/>
      <c r="I26" s="254">
        <f>SUM(I22:I25)</f>
        <v>574024</v>
      </c>
      <c r="J26" s="85"/>
      <c r="L26" s="85"/>
    </row>
    <row r="27" spans="2:12" s="29" customFormat="1" ht="12">
      <c r="B27" s="188" t="s">
        <v>6</v>
      </c>
      <c r="C27" s="250"/>
      <c r="D27" s="250"/>
      <c r="E27" s="250"/>
      <c r="F27" s="250"/>
      <c r="G27" s="250"/>
      <c r="H27" s="250"/>
      <c r="I27" s="252">
        <f>'[6]Group'!$BR$26</f>
        <v>-118105</v>
      </c>
      <c r="J27" s="85"/>
      <c r="L27" s="85"/>
    </row>
    <row r="28" spans="2:12" s="29" customFormat="1" ht="12">
      <c r="B28" s="188" t="s">
        <v>244</v>
      </c>
      <c r="C28" s="250"/>
      <c r="D28" s="250"/>
      <c r="E28" s="250"/>
      <c r="F28" s="250"/>
      <c r="G28" s="250"/>
      <c r="H28" s="250"/>
      <c r="I28" s="251">
        <f>SUM(I26:I27)</f>
        <v>455919</v>
      </c>
      <c r="J28" s="85"/>
      <c r="L28" s="85"/>
    </row>
    <row r="29" spans="2:12" s="29" customFormat="1" ht="12">
      <c r="B29" s="188" t="s">
        <v>136</v>
      </c>
      <c r="C29" s="250"/>
      <c r="D29" s="250"/>
      <c r="E29" s="250"/>
      <c r="F29" s="250"/>
      <c r="G29" s="250"/>
      <c r="H29" s="250"/>
      <c r="I29" s="251">
        <f>'[6]Group'!$BR$28</f>
        <v>-97257</v>
      </c>
      <c r="J29" s="85"/>
      <c r="L29" s="85"/>
    </row>
    <row r="30" spans="2:12" s="29" customFormat="1" ht="12.75" thickBot="1">
      <c r="B30" s="188" t="s">
        <v>170</v>
      </c>
      <c r="C30" s="250"/>
      <c r="D30" s="250"/>
      <c r="E30" s="250"/>
      <c r="F30" s="250"/>
      <c r="G30" s="250"/>
      <c r="H30" s="250"/>
      <c r="I30" s="253">
        <f>SUM(I28:I29)</f>
        <v>358662</v>
      </c>
      <c r="J30" s="85"/>
      <c r="L30" s="85"/>
    </row>
    <row r="31" spans="7:12" s="29" customFormat="1" ht="21.75" customHeight="1">
      <c r="G31" s="85"/>
      <c r="H31" s="85"/>
      <c r="I31" s="85"/>
      <c r="J31" s="85"/>
      <c r="L31" s="85"/>
    </row>
    <row r="32" spans="2:12" s="29" customFormat="1" ht="12">
      <c r="B32" s="47" t="s">
        <v>330</v>
      </c>
      <c r="G32" s="85"/>
      <c r="H32" s="85"/>
      <c r="I32" s="85"/>
      <c r="J32" s="85"/>
      <c r="L32" s="85"/>
    </row>
    <row r="33" spans="7:12" s="29" customFormat="1" ht="7.5" customHeight="1">
      <c r="G33" s="85"/>
      <c r="H33" s="85"/>
      <c r="I33" s="85"/>
      <c r="J33" s="85"/>
      <c r="L33" s="85"/>
    </row>
    <row r="34" spans="2:12" s="29" customFormat="1" ht="12">
      <c r="B34" s="47" t="s">
        <v>231</v>
      </c>
      <c r="C34" s="249"/>
      <c r="D34" s="249"/>
      <c r="E34" s="249"/>
      <c r="F34" s="249"/>
      <c r="G34" s="249"/>
      <c r="H34" s="249"/>
      <c r="I34" s="31"/>
      <c r="J34" s="85"/>
      <c r="L34" s="85"/>
    </row>
    <row r="35" spans="2:12" s="29" customFormat="1" ht="12">
      <c r="B35" s="188" t="s">
        <v>245</v>
      </c>
      <c r="C35" s="249"/>
      <c r="D35" s="249"/>
      <c r="E35" s="249"/>
      <c r="F35" s="249"/>
      <c r="G35" s="249"/>
      <c r="H35" s="249"/>
      <c r="I35" s="31"/>
      <c r="J35" s="85"/>
      <c r="L35" s="85"/>
    </row>
    <row r="36" spans="2:12" s="29" customFormat="1" ht="12">
      <c r="B36" s="280" t="s">
        <v>246</v>
      </c>
      <c r="C36" s="255">
        <v>176868</v>
      </c>
      <c r="D36" s="255">
        <v>335889</v>
      </c>
      <c r="E36" s="255">
        <v>32704</v>
      </c>
      <c r="F36" s="255">
        <f>342314+647560-40740</f>
        <v>949134</v>
      </c>
      <c r="G36" s="255">
        <f>110000-G37</f>
        <v>66465</v>
      </c>
      <c r="H36" s="255">
        <f>'[3]Summary'!I28</f>
        <v>0</v>
      </c>
      <c r="I36" s="256">
        <f>SUM(C36:H36)</f>
        <v>1561060</v>
      </c>
      <c r="J36" s="85"/>
      <c r="L36" s="85"/>
    </row>
    <row r="37" spans="2:12" s="29" customFormat="1" ht="12">
      <c r="B37" s="280" t="s">
        <v>247</v>
      </c>
      <c r="C37" s="257">
        <v>0</v>
      </c>
      <c r="D37" s="257">
        <v>0</v>
      </c>
      <c r="E37" s="257">
        <v>0</v>
      </c>
      <c r="F37" s="257">
        <v>0</v>
      </c>
      <c r="G37" s="257">
        <v>43535</v>
      </c>
      <c r="H37" s="257">
        <v>0</v>
      </c>
      <c r="I37" s="257">
        <f>SUM(C37:H37)</f>
        <v>43535</v>
      </c>
      <c r="J37" s="85"/>
      <c r="L37" s="85"/>
    </row>
    <row r="38" spans="2:12" s="29" customFormat="1" ht="12">
      <c r="B38" s="280"/>
      <c r="C38" s="255">
        <f>SUM(C36:C37)</f>
        <v>176868</v>
      </c>
      <c r="D38" s="255">
        <f aca="true" t="shared" si="1" ref="D38:I38">SUM(D36:D37)</f>
        <v>335889</v>
      </c>
      <c r="E38" s="255">
        <f t="shared" si="1"/>
        <v>32704</v>
      </c>
      <c r="F38" s="255">
        <f t="shared" si="1"/>
        <v>949134</v>
      </c>
      <c r="G38" s="255">
        <f t="shared" si="1"/>
        <v>110000</v>
      </c>
      <c r="H38" s="255">
        <f t="shared" si="1"/>
        <v>0</v>
      </c>
      <c r="I38" s="255">
        <f t="shared" si="1"/>
        <v>1604595</v>
      </c>
      <c r="J38" s="85"/>
      <c r="L38" s="85"/>
    </row>
    <row r="39" spans="2:12" s="29" customFormat="1" ht="12">
      <c r="B39" s="188" t="s">
        <v>233</v>
      </c>
      <c r="C39" s="257">
        <v>248806</v>
      </c>
      <c r="D39" s="257">
        <f>'[3]Summary'!C29</f>
        <v>0</v>
      </c>
      <c r="E39" s="257">
        <f>'[3]Summary'!D29</f>
        <v>0</v>
      </c>
      <c r="F39" s="257">
        <v>40740</v>
      </c>
      <c r="G39" s="257">
        <f>'[3]Summary'!H29</f>
        <v>0</v>
      </c>
      <c r="H39" s="257">
        <f>-SUM(C39:G39)</f>
        <v>-289546</v>
      </c>
      <c r="I39" s="257">
        <f>SUM(C39:H39)</f>
        <v>0</v>
      </c>
      <c r="J39" s="85"/>
      <c r="L39" s="85"/>
    </row>
    <row r="40" spans="2:12" s="29" customFormat="1" ht="12.75" thickBot="1">
      <c r="B40" s="280" t="s">
        <v>234</v>
      </c>
      <c r="C40" s="258">
        <f>SUM(C38:C39)</f>
        <v>425674</v>
      </c>
      <c r="D40" s="258">
        <f aca="true" t="shared" si="2" ref="D40:I40">SUM(D38:D39)</f>
        <v>335889</v>
      </c>
      <c r="E40" s="258">
        <f t="shared" si="2"/>
        <v>32704</v>
      </c>
      <c r="F40" s="258">
        <f t="shared" si="2"/>
        <v>989874</v>
      </c>
      <c r="G40" s="258">
        <f t="shared" si="2"/>
        <v>110000</v>
      </c>
      <c r="H40" s="258">
        <f t="shared" si="2"/>
        <v>-289546</v>
      </c>
      <c r="I40" s="258">
        <f t="shared" si="2"/>
        <v>1604595</v>
      </c>
      <c r="J40" s="85"/>
      <c r="L40" s="85"/>
    </row>
    <row r="41" spans="3:12" s="29" customFormat="1" ht="9.75" customHeight="1">
      <c r="C41" s="255"/>
      <c r="D41" s="255"/>
      <c r="E41" s="255"/>
      <c r="F41" s="255"/>
      <c r="G41" s="255"/>
      <c r="H41" s="255"/>
      <c r="I41" s="255"/>
      <c r="J41" s="85"/>
      <c r="L41" s="85"/>
    </row>
    <row r="42" spans="2:12" s="29" customFormat="1" ht="12">
      <c r="B42" s="47" t="s">
        <v>235</v>
      </c>
      <c r="C42" s="255"/>
      <c r="D42" s="255"/>
      <c r="E42" s="255"/>
      <c r="F42" s="255"/>
      <c r="G42" s="255"/>
      <c r="H42" s="255"/>
      <c r="I42" s="255"/>
      <c r="J42" s="85"/>
      <c r="L42" s="85"/>
    </row>
    <row r="43" spans="2:12" s="29" customFormat="1" ht="12">
      <c r="B43" s="188" t="s">
        <v>236</v>
      </c>
      <c r="C43" s="255"/>
      <c r="D43" s="255"/>
      <c r="E43" s="255"/>
      <c r="F43" s="255"/>
      <c r="G43" s="255"/>
      <c r="H43" s="255"/>
      <c r="I43" s="255"/>
      <c r="J43" s="85"/>
      <c r="L43" s="85"/>
    </row>
    <row r="44" spans="2:12" s="29" customFormat="1" ht="12">
      <c r="B44" s="280" t="s">
        <v>246</v>
      </c>
      <c r="C44" s="255">
        <f>160675-298-298-298</f>
        <v>159781</v>
      </c>
      <c r="D44" s="255">
        <v>142200</v>
      </c>
      <c r="E44" s="255">
        <v>18842</v>
      </c>
      <c r="F44" s="255">
        <f>33478+11789</f>
        <v>45267</v>
      </c>
      <c r="G44" s="255">
        <f>25338-G45</f>
        <v>17099</v>
      </c>
      <c r="H44" s="255">
        <f>'[3]Summary'!I33</f>
        <v>0</v>
      </c>
      <c r="I44" s="256">
        <f>SUM(C44:H44)</f>
        <v>383189</v>
      </c>
      <c r="J44" s="85"/>
      <c r="L44" s="85"/>
    </row>
    <row r="45" spans="2:12" s="29" customFormat="1" ht="12">
      <c r="B45" s="280" t="s">
        <v>247</v>
      </c>
      <c r="C45" s="257">
        <v>0</v>
      </c>
      <c r="D45" s="257">
        <v>0</v>
      </c>
      <c r="E45" s="257">
        <v>0</v>
      </c>
      <c r="F45" s="257">
        <v>0</v>
      </c>
      <c r="G45" s="257">
        <v>8239</v>
      </c>
      <c r="H45" s="257">
        <v>0</v>
      </c>
      <c r="I45" s="257">
        <f>SUM(C45:H45)</f>
        <v>8239</v>
      </c>
      <c r="J45" s="85"/>
      <c r="L45" s="85"/>
    </row>
    <row r="46" spans="2:12" s="29" customFormat="1" ht="12">
      <c r="B46" s="188"/>
      <c r="C46" s="255">
        <f>SUM(C44:C45)</f>
        <v>159781</v>
      </c>
      <c r="D46" s="255">
        <f aca="true" t="shared" si="3" ref="D46:I46">SUM(D44:D45)</f>
        <v>142200</v>
      </c>
      <c r="E46" s="255">
        <f t="shared" si="3"/>
        <v>18842</v>
      </c>
      <c r="F46" s="255">
        <f t="shared" si="3"/>
        <v>45267</v>
      </c>
      <c r="G46" s="255">
        <f t="shared" si="3"/>
        <v>25338</v>
      </c>
      <c r="H46" s="255">
        <f t="shared" si="3"/>
        <v>0</v>
      </c>
      <c r="I46" s="255">
        <f t="shared" si="3"/>
        <v>391428</v>
      </c>
      <c r="J46" s="85"/>
      <c r="L46" s="85"/>
    </row>
    <row r="47" spans="2:12" s="29" customFormat="1" ht="12">
      <c r="B47" s="188" t="s">
        <v>226</v>
      </c>
      <c r="C47" s="256"/>
      <c r="D47" s="256"/>
      <c r="E47" s="256"/>
      <c r="F47" s="256"/>
      <c r="G47" s="256"/>
      <c r="H47" s="256"/>
      <c r="I47" s="257">
        <v>-9453</v>
      </c>
      <c r="J47" s="85"/>
      <c r="L47" s="85"/>
    </row>
    <row r="48" spans="2:12" s="29" customFormat="1" ht="12">
      <c r="B48" s="188" t="s">
        <v>210</v>
      </c>
      <c r="C48" s="256"/>
      <c r="D48" s="256"/>
      <c r="E48" s="256"/>
      <c r="F48" s="256"/>
      <c r="G48" s="256"/>
      <c r="H48" s="256"/>
      <c r="I48" s="255">
        <f>SUM(I46:I47)</f>
        <v>381975</v>
      </c>
      <c r="J48" s="85"/>
      <c r="L48" s="85"/>
    </row>
    <row r="49" spans="2:12" s="29" customFormat="1" ht="12">
      <c r="B49" s="188" t="s">
        <v>135</v>
      </c>
      <c r="C49" s="255"/>
      <c r="D49" s="255"/>
      <c r="E49" s="255"/>
      <c r="F49" s="255"/>
      <c r="G49" s="255"/>
      <c r="H49" s="255"/>
      <c r="I49" s="256">
        <v>-37221</v>
      </c>
      <c r="J49" s="85"/>
      <c r="L49" s="85"/>
    </row>
    <row r="50" spans="2:12" s="29" customFormat="1" ht="12">
      <c r="B50" s="188" t="s">
        <v>168</v>
      </c>
      <c r="C50" s="255"/>
      <c r="D50" s="255"/>
      <c r="E50" s="255"/>
      <c r="F50" s="255"/>
      <c r="G50" s="255"/>
      <c r="H50" s="255"/>
      <c r="I50" s="256">
        <v>9303</v>
      </c>
      <c r="J50" s="85"/>
      <c r="L50" s="85"/>
    </row>
    <row r="51" spans="2:12" s="29" customFormat="1" ht="12">
      <c r="B51" s="188" t="s">
        <v>263</v>
      </c>
      <c r="C51" s="255"/>
      <c r="D51" s="255"/>
      <c r="E51" s="255"/>
      <c r="F51" s="255"/>
      <c r="G51" s="255"/>
      <c r="H51" s="255"/>
      <c r="I51" s="256">
        <v>34526</v>
      </c>
      <c r="J51" s="85"/>
      <c r="L51" s="85"/>
    </row>
    <row r="52" spans="2:12" s="29" customFormat="1" ht="12">
      <c r="B52" s="188" t="s">
        <v>159</v>
      </c>
      <c r="C52" s="256"/>
      <c r="D52" s="256"/>
      <c r="E52" s="256"/>
      <c r="F52" s="256"/>
      <c r="G52" s="256"/>
      <c r="H52" s="256"/>
      <c r="I52" s="259">
        <f>SUM(I48:I51)</f>
        <v>388583</v>
      </c>
      <c r="J52" s="85"/>
      <c r="L52" s="85"/>
    </row>
    <row r="53" spans="2:12" s="29" customFormat="1" ht="12">
      <c r="B53" s="188" t="s">
        <v>6</v>
      </c>
      <c r="C53" s="255"/>
      <c r="D53" s="255"/>
      <c r="E53" s="255"/>
      <c r="F53" s="255"/>
      <c r="G53" s="255"/>
      <c r="H53" s="255"/>
      <c r="I53" s="257">
        <f>-71949-2051</f>
        <v>-74000</v>
      </c>
      <c r="J53" s="85"/>
      <c r="L53" s="85"/>
    </row>
    <row r="54" spans="2:12" s="29" customFormat="1" ht="12">
      <c r="B54" s="188" t="s">
        <v>244</v>
      </c>
      <c r="C54" s="255"/>
      <c r="D54" s="255"/>
      <c r="E54" s="255"/>
      <c r="F54" s="255"/>
      <c r="G54" s="255"/>
      <c r="H54" s="255"/>
      <c r="I54" s="256">
        <f>SUM(I52:I53)</f>
        <v>314583</v>
      </c>
      <c r="J54" s="85"/>
      <c r="L54" s="85"/>
    </row>
    <row r="55" spans="2:12" s="29" customFormat="1" ht="12">
      <c r="B55" s="188" t="s">
        <v>136</v>
      </c>
      <c r="C55" s="255"/>
      <c r="D55" s="255"/>
      <c r="E55" s="255"/>
      <c r="F55" s="255"/>
      <c r="G55" s="255"/>
      <c r="H55" s="255"/>
      <c r="I55" s="256">
        <v>-71116</v>
      </c>
      <c r="J55" s="85"/>
      <c r="L55" s="85"/>
    </row>
    <row r="56" spans="2:12" s="29" customFormat="1" ht="12.75" thickBot="1">
      <c r="B56" s="188" t="s">
        <v>170</v>
      </c>
      <c r="C56" s="255"/>
      <c r="D56" s="255"/>
      <c r="E56" s="255"/>
      <c r="F56" s="255"/>
      <c r="G56" s="255"/>
      <c r="H56" s="255"/>
      <c r="I56" s="258">
        <f>SUM(I54:I55)</f>
        <v>243467</v>
      </c>
      <c r="J56" s="260"/>
      <c r="L56" s="85"/>
    </row>
    <row r="57" spans="7:12" s="29" customFormat="1" ht="12">
      <c r="G57" s="85"/>
      <c r="H57" s="85"/>
      <c r="I57" s="85"/>
      <c r="J57" s="85"/>
      <c r="L57" s="85"/>
    </row>
    <row r="58" spans="7:12" s="29" customFormat="1" ht="12">
      <c r="G58" s="85"/>
      <c r="H58" s="85"/>
      <c r="I58" s="85"/>
      <c r="J58" s="85"/>
      <c r="L58" s="85"/>
    </row>
    <row r="59" spans="7:12" s="29" customFormat="1" ht="12">
      <c r="G59" s="85"/>
      <c r="H59" s="85"/>
      <c r="I59" s="85"/>
      <c r="J59" s="85"/>
      <c r="L59" s="85"/>
    </row>
    <row r="60" spans="7:12" s="29" customFormat="1" ht="12">
      <c r="G60" s="85"/>
      <c r="H60" s="85"/>
      <c r="I60" s="85"/>
      <c r="J60" s="85"/>
      <c r="L60" s="85"/>
    </row>
    <row r="61" spans="7:12" s="29" customFormat="1" ht="12">
      <c r="G61" s="85"/>
      <c r="H61" s="85"/>
      <c r="I61" s="85"/>
      <c r="J61" s="85"/>
      <c r="L61" s="85"/>
    </row>
    <row r="62" spans="7:12" s="29" customFormat="1" ht="12">
      <c r="G62" s="85"/>
      <c r="H62" s="85"/>
      <c r="I62" s="85"/>
      <c r="J62" s="85"/>
      <c r="L62" s="85"/>
    </row>
    <row r="63" spans="7:12" s="29" customFormat="1" ht="12">
      <c r="G63" s="85"/>
      <c r="H63" s="85"/>
      <c r="I63" s="85"/>
      <c r="J63" s="85"/>
      <c r="L63" s="85"/>
    </row>
    <row r="64" spans="7:12" s="29" customFormat="1" ht="12">
      <c r="G64" s="85"/>
      <c r="H64" s="85"/>
      <c r="I64" s="85"/>
      <c r="J64" s="85"/>
      <c r="L64" s="85"/>
    </row>
    <row r="65" spans="7:12" s="29" customFormat="1" ht="12">
      <c r="G65" s="85"/>
      <c r="H65" s="85"/>
      <c r="I65" s="85"/>
      <c r="J65" s="85"/>
      <c r="L65" s="85"/>
    </row>
    <row r="66" spans="7:12" s="29" customFormat="1" ht="12">
      <c r="G66" s="85"/>
      <c r="H66" s="85"/>
      <c r="I66" s="85"/>
      <c r="J66" s="85"/>
      <c r="L66" s="85"/>
    </row>
    <row r="67" spans="7:12" s="29" customFormat="1" ht="12">
      <c r="G67" s="85"/>
      <c r="H67" s="85"/>
      <c r="I67" s="85"/>
      <c r="J67" s="85"/>
      <c r="L67" s="85"/>
    </row>
    <row r="68" spans="7:12" s="29" customFormat="1" ht="12">
      <c r="G68" s="85"/>
      <c r="H68" s="85"/>
      <c r="I68" s="85"/>
      <c r="J68" s="85"/>
      <c r="L68" s="85"/>
    </row>
    <row r="69" spans="7:12" s="29" customFormat="1" ht="12">
      <c r="G69" s="85"/>
      <c r="H69" s="85"/>
      <c r="I69" s="85"/>
      <c r="J69" s="85"/>
      <c r="L69" s="85"/>
    </row>
    <row r="70" spans="7:12" s="29" customFormat="1" ht="12">
      <c r="G70" s="85"/>
      <c r="H70" s="85"/>
      <c r="I70" s="85"/>
      <c r="J70" s="85"/>
      <c r="L70" s="85"/>
    </row>
    <row r="71" spans="7:12" s="29" customFormat="1" ht="12">
      <c r="G71" s="85"/>
      <c r="H71" s="85"/>
      <c r="I71" s="85"/>
      <c r="J71" s="85"/>
      <c r="L71" s="85"/>
    </row>
    <row r="72" spans="7:12" s="29" customFormat="1" ht="12">
      <c r="G72" s="85"/>
      <c r="H72" s="85"/>
      <c r="I72" s="85"/>
      <c r="J72" s="85"/>
      <c r="L72" s="85"/>
    </row>
  </sheetData>
  <mergeCells count="2">
    <mergeCell ref="A1:I1"/>
    <mergeCell ref="A2:I2"/>
  </mergeCells>
  <printOptions/>
  <pageMargins left="0.91" right="0.38" top="1.34" bottom="1.17" header="0.38" footer="1"/>
  <pageSetup horizontalDpi="300" verticalDpi="300" orientation="portrait" paperSize="9" scale="92" r:id="rId1"/>
  <headerFooter alignWithMargins="0">
    <oddFooter>&amp;C&amp;"Times New Roman,Regular"&amp;7- Page &amp;P+8 -</oddFooter>
  </headerFooter>
</worksheet>
</file>

<file path=xl/worksheets/sheet7.xml><?xml version="1.0" encoding="utf-8"?>
<worksheet xmlns="http://schemas.openxmlformats.org/spreadsheetml/2006/main" xmlns:r="http://schemas.openxmlformats.org/officeDocument/2006/relationships">
  <dimension ref="A1:Q45"/>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77" t="s">
        <v>93</v>
      </c>
      <c r="B1" s="377"/>
      <c r="C1" s="377"/>
      <c r="D1" s="377"/>
      <c r="E1" s="377"/>
      <c r="F1" s="377"/>
      <c r="G1" s="377"/>
      <c r="H1" s="377"/>
      <c r="I1" s="377"/>
      <c r="J1" s="377"/>
      <c r="K1" s="377"/>
      <c r="L1" s="377"/>
      <c r="M1" s="377"/>
      <c r="N1" s="377"/>
      <c r="O1" s="377"/>
      <c r="P1" s="377"/>
      <c r="Q1" s="137"/>
    </row>
    <row r="2" spans="1:17" s="19" customFormat="1" ht="12.75">
      <c r="A2" s="343" t="s">
        <v>5</v>
      </c>
      <c r="B2" s="343"/>
      <c r="C2" s="343"/>
      <c r="D2" s="343"/>
      <c r="E2" s="343"/>
      <c r="F2" s="343"/>
      <c r="G2" s="343"/>
      <c r="H2" s="343"/>
      <c r="I2" s="343"/>
      <c r="J2" s="343"/>
      <c r="K2" s="343"/>
      <c r="L2" s="343"/>
      <c r="M2" s="343"/>
      <c r="N2" s="343"/>
      <c r="O2" s="343"/>
      <c r="P2" s="343"/>
      <c r="Q2" s="138"/>
    </row>
    <row r="3" s="19" customFormat="1" ht="12.75">
      <c r="P3" s="18"/>
    </row>
    <row r="4" spans="1:16" s="19" customFormat="1" ht="14.25">
      <c r="A4" s="139" t="str">
        <f>'IS'!A4</f>
        <v>Interim report for the financial period ended 31 March 2003</v>
      </c>
      <c r="P4" s="18"/>
    </row>
    <row r="5" spans="1:16" s="19" customFormat="1" ht="12.75">
      <c r="A5" s="140" t="s">
        <v>125</v>
      </c>
      <c r="P5" s="18"/>
    </row>
    <row r="6" spans="1:15" s="80" customFormat="1" ht="12" customHeight="1">
      <c r="A6" s="89"/>
      <c r="B6" s="89"/>
      <c r="C6" s="89"/>
      <c r="D6" s="89"/>
      <c r="E6" s="141"/>
      <c r="F6" s="89"/>
      <c r="G6" s="89"/>
      <c r="H6" s="89"/>
      <c r="I6" s="89"/>
      <c r="J6" s="89"/>
      <c r="K6" s="89"/>
      <c r="L6" s="89"/>
      <c r="M6" s="89"/>
      <c r="N6" s="89"/>
      <c r="O6" s="89"/>
    </row>
    <row r="7" s="19" customFormat="1" ht="12.75">
      <c r="A7" s="18" t="s">
        <v>224</v>
      </c>
    </row>
    <row r="8" s="19" customFormat="1" ht="11.25" customHeight="1"/>
    <row r="9" spans="1:3" s="19" customFormat="1" ht="11.25" customHeight="1">
      <c r="A9" s="18"/>
      <c r="B9" s="18"/>
      <c r="C9" s="18"/>
    </row>
    <row r="10" spans="1:3" s="19" customFormat="1" ht="12.75">
      <c r="A10" s="18" t="s">
        <v>98</v>
      </c>
      <c r="B10" s="18"/>
      <c r="C10" s="18" t="s">
        <v>200</v>
      </c>
    </row>
    <row r="11" spans="1:3" s="19" customFormat="1" ht="10.5" customHeight="1">
      <c r="A11" s="18"/>
      <c r="B11" s="18"/>
      <c r="C11" s="18"/>
    </row>
    <row r="12" spans="1:16" s="19" customFormat="1" ht="25.5" customHeight="1">
      <c r="A12" s="18"/>
      <c r="B12" s="18"/>
      <c r="C12" s="372" t="s">
        <v>201</v>
      </c>
      <c r="D12" s="372"/>
      <c r="E12" s="372"/>
      <c r="F12" s="372"/>
      <c r="G12" s="372"/>
      <c r="H12" s="372"/>
      <c r="I12" s="372"/>
      <c r="J12" s="372"/>
      <c r="K12" s="372"/>
      <c r="L12" s="372"/>
      <c r="M12" s="372"/>
      <c r="N12" s="372"/>
      <c r="O12" s="372"/>
      <c r="P12" s="372"/>
    </row>
    <row r="13" s="19" customFormat="1" ht="10.5" customHeight="1"/>
    <row r="14" s="19" customFormat="1" ht="10.5" customHeight="1"/>
    <row r="15" spans="1:17" s="18" customFormat="1" ht="12.75">
      <c r="A15" s="18" t="s">
        <v>203</v>
      </c>
      <c r="C15" s="18" t="s">
        <v>143</v>
      </c>
      <c r="E15" s="121"/>
      <c r="F15" s="121"/>
      <c r="G15" s="121"/>
      <c r="H15" s="121"/>
      <c r="I15" s="121"/>
      <c r="J15" s="121"/>
      <c r="K15" s="121"/>
      <c r="L15" s="121"/>
      <c r="M15" s="121"/>
      <c r="N15" s="121"/>
      <c r="O15" s="121"/>
      <c r="P15" s="121"/>
      <c r="Q15" s="121"/>
    </row>
    <row r="16" spans="3:17" s="19" customFormat="1" ht="10.5" customHeight="1">
      <c r="C16" s="59"/>
      <c r="D16" s="59"/>
      <c r="E16" s="59"/>
      <c r="F16" s="59"/>
      <c r="G16" s="59"/>
      <c r="H16" s="59"/>
      <c r="I16" s="59"/>
      <c r="J16" s="59"/>
      <c r="K16" s="59"/>
      <c r="L16" s="59"/>
      <c r="M16" s="59"/>
      <c r="N16" s="59"/>
      <c r="O16" s="59"/>
      <c r="P16" s="59"/>
      <c r="Q16" s="59"/>
    </row>
    <row r="17" spans="3:17" s="19" customFormat="1" ht="39" customHeight="1">
      <c r="C17" s="376" t="s">
        <v>346</v>
      </c>
      <c r="D17" s="376"/>
      <c r="E17" s="376"/>
      <c r="F17" s="376"/>
      <c r="G17" s="376"/>
      <c r="H17" s="376"/>
      <c r="I17" s="376"/>
      <c r="J17" s="376"/>
      <c r="K17" s="376"/>
      <c r="L17" s="376"/>
      <c r="M17" s="376"/>
      <c r="N17" s="376"/>
      <c r="O17" s="376"/>
      <c r="P17" s="376"/>
      <c r="Q17" s="59"/>
    </row>
    <row r="18" spans="3:17" s="19" customFormat="1" ht="9" customHeight="1">
      <c r="C18" s="62"/>
      <c r="D18" s="62"/>
      <c r="E18" s="62"/>
      <c r="F18" s="62"/>
      <c r="G18" s="62"/>
      <c r="H18" s="62"/>
      <c r="I18" s="62"/>
      <c r="J18" s="62"/>
      <c r="K18" s="62"/>
      <c r="L18" s="62"/>
      <c r="M18" s="62"/>
      <c r="N18" s="62"/>
      <c r="O18" s="62"/>
      <c r="P18" s="62"/>
      <c r="Q18" s="59"/>
    </row>
    <row r="19" s="19" customFormat="1" ht="9.75" customHeight="1"/>
    <row r="20" spans="1:7" s="19" customFormat="1" ht="12.75">
      <c r="A20" s="18" t="s">
        <v>204</v>
      </c>
      <c r="B20" s="18"/>
      <c r="C20" s="18" t="s">
        <v>32</v>
      </c>
      <c r="D20" s="18"/>
      <c r="E20" s="18"/>
      <c r="F20" s="18"/>
      <c r="G20" s="18"/>
    </row>
    <row r="21" spans="1:7" s="19" customFormat="1" ht="10.5" customHeight="1">
      <c r="A21" s="18"/>
      <c r="B21" s="18"/>
      <c r="C21" s="18"/>
      <c r="D21" s="18"/>
      <c r="E21" s="18"/>
      <c r="F21" s="18"/>
      <c r="G21" s="18"/>
    </row>
    <row r="22" spans="1:16" s="19" customFormat="1" ht="26.25" customHeight="1">
      <c r="A22" s="18"/>
      <c r="B22" s="18"/>
      <c r="C22" s="376" t="str">
        <f>"There were no material changes in the composition of the Group during the financial period ended "&amp;TEXT(Sheet1!B9,"dd mmmm yyyy")&amp;" except for the following:-."</f>
        <v>There were no material changes in the composition of the Group during the financial period ended 31 March 2003 except for the following:-.</v>
      </c>
      <c r="D22" s="376"/>
      <c r="E22" s="376"/>
      <c r="F22" s="376"/>
      <c r="G22" s="376"/>
      <c r="H22" s="376"/>
      <c r="I22" s="376"/>
      <c r="J22" s="376"/>
      <c r="K22" s="376"/>
      <c r="L22" s="376"/>
      <c r="M22" s="376"/>
      <c r="N22" s="376"/>
      <c r="O22" s="376"/>
      <c r="P22" s="376"/>
    </row>
    <row r="23" spans="1:16" s="19" customFormat="1" ht="5.25" customHeight="1">
      <c r="A23" s="18"/>
      <c r="B23" s="18"/>
      <c r="C23" s="62"/>
      <c r="D23" s="62"/>
      <c r="E23" s="62"/>
      <c r="F23" s="62"/>
      <c r="G23" s="62"/>
      <c r="H23" s="62"/>
      <c r="I23" s="62"/>
      <c r="J23" s="62"/>
      <c r="K23" s="62"/>
      <c r="L23" s="62"/>
      <c r="M23" s="62"/>
      <c r="N23" s="62"/>
      <c r="O23" s="62"/>
      <c r="P23" s="62"/>
    </row>
    <row r="24" spans="1:16" s="19" customFormat="1" ht="9" customHeight="1">
      <c r="A24" s="18"/>
      <c r="B24" s="18"/>
      <c r="C24" s="376"/>
      <c r="D24" s="376"/>
      <c r="E24" s="376"/>
      <c r="F24" s="376"/>
      <c r="G24" s="376"/>
      <c r="H24" s="376"/>
      <c r="I24" s="376"/>
      <c r="J24" s="376"/>
      <c r="K24" s="376"/>
      <c r="L24" s="376"/>
      <c r="M24" s="376"/>
      <c r="N24" s="376"/>
      <c r="O24" s="376"/>
      <c r="P24" s="376"/>
    </row>
    <row r="25" spans="1:17" s="19" customFormat="1" ht="19.5" customHeight="1">
      <c r="A25" s="18"/>
      <c r="B25" s="18"/>
      <c r="C25" s="62"/>
      <c r="D25" s="62"/>
      <c r="E25" s="62"/>
      <c r="F25" s="62"/>
      <c r="G25" s="62"/>
      <c r="H25" s="62"/>
      <c r="I25" s="62"/>
      <c r="J25" s="62"/>
      <c r="K25" s="62"/>
      <c r="M25" s="134"/>
      <c r="N25" s="346" t="s">
        <v>344</v>
      </c>
      <c r="O25" s="346"/>
      <c r="P25" s="346"/>
      <c r="Q25" s="346"/>
    </row>
    <row r="26" spans="1:17" s="19" customFormat="1" ht="12.75" customHeight="1">
      <c r="A26" s="18"/>
      <c r="B26" s="18"/>
      <c r="C26" s="62"/>
      <c r="D26" s="62"/>
      <c r="E26" s="62"/>
      <c r="F26" s="62"/>
      <c r="G26" s="62"/>
      <c r="H26" s="62"/>
      <c r="I26" s="62"/>
      <c r="J26" s="62"/>
      <c r="K26" s="62"/>
      <c r="M26" s="134"/>
      <c r="N26" s="313">
        <v>37711</v>
      </c>
      <c r="O26" s="148"/>
      <c r="P26" s="313">
        <v>37437</v>
      </c>
      <c r="Q26" s="312"/>
    </row>
    <row r="27" spans="1:17" s="19" customFormat="1" ht="12.75" customHeight="1">
      <c r="A27" s="18"/>
      <c r="B27" s="18"/>
      <c r="C27" s="62"/>
      <c r="D27" s="62"/>
      <c r="E27" s="62"/>
      <c r="F27" s="62"/>
      <c r="G27" s="62"/>
      <c r="H27" s="62"/>
      <c r="I27" s="62"/>
      <c r="J27" s="62"/>
      <c r="K27" s="62"/>
      <c r="M27" s="134"/>
      <c r="N27" s="313"/>
      <c r="O27" s="148"/>
      <c r="P27" s="313"/>
      <c r="Q27" s="312"/>
    </row>
    <row r="28" spans="1:17" s="19" customFormat="1" ht="12.75">
      <c r="A28" s="18"/>
      <c r="B28" s="18"/>
      <c r="C28" s="62"/>
      <c r="D28" s="376" t="s">
        <v>3</v>
      </c>
      <c r="E28" s="376"/>
      <c r="F28" s="376"/>
      <c r="G28" s="376"/>
      <c r="H28" s="376"/>
      <c r="I28" s="376"/>
      <c r="J28" s="376"/>
      <c r="K28" s="376"/>
      <c r="L28" s="376"/>
      <c r="M28" s="134"/>
      <c r="N28" s="265">
        <v>1</v>
      </c>
      <c r="O28" s="244"/>
      <c r="P28" s="243" t="s">
        <v>149</v>
      </c>
      <c r="Q28" s="134"/>
    </row>
    <row r="29" spans="1:17" s="19" customFormat="1" ht="12.75">
      <c r="A29" s="18"/>
      <c r="B29" s="18"/>
      <c r="C29" s="62"/>
      <c r="D29" s="376" t="s">
        <v>4</v>
      </c>
      <c r="E29" s="376"/>
      <c r="F29" s="376"/>
      <c r="G29" s="376"/>
      <c r="H29" s="376"/>
      <c r="I29" s="376"/>
      <c r="J29" s="376"/>
      <c r="K29" s="376"/>
      <c r="L29" s="376"/>
      <c r="M29" s="134"/>
      <c r="N29" s="265">
        <v>1</v>
      </c>
      <c r="O29" s="244"/>
      <c r="P29" s="243" t="s">
        <v>149</v>
      </c>
      <c r="Q29" s="134"/>
    </row>
    <row r="30" spans="1:16" s="19" customFormat="1" ht="12.75" customHeight="1">
      <c r="A30" s="18"/>
      <c r="B30" s="18"/>
      <c r="D30" s="376" t="s">
        <v>331</v>
      </c>
      <c r="E30" s="376"/>
      <c r="F30" s="376"/>
      <c r="G30" s="376"/>
      <c r="H30" s="376"/>
      <c r="I30" s="376"/>
      <c r="J30" s="376"/>
      <c r="K30" s="376"/>
      <c r="L30" s="376"/>
      <c r="M30" s="62"/>
      <c r="N30" s="265">
        <v>0.51</v>
      </c>
      <c r="O30" s="62"/>
      <c r="P30" s="243" t="s">
        <v>149</v>
      </c>
    </row>
    <row r="31" spans="1:16" s="19" customFormat="1" ht="12.75" customHeight="1">
      <c r="A31" s="18"/>
      <c r="B31" s="18"/>
      <c r="D31" s="376" t="s">
        <v>332</v>
      </c>
      <c r="E31" s="376"/>
      <c r="F31" s="376"/>
      <c r="G31" s="376"/>
      <c r="H31" s="376"/>
      <c r="I31" s="376"/>
      <c r="J31" s="376"/>
      <c r="K31" s="376"/>
      <c r="L31" s="376"/>
      <c r="M31" s="62"/>
      <c r="N31" s="265">
        <v>0.51</v>
      </c>
      <c r="O31" s="62"/>
      <c r="P31" s="243" t="s">
        <v>149</v>
      </c>
    </row>
    <row r="32" spans="1:16" s="19" customFormat="1" ht="12.75">
      <c r="A32" s="18"/>
      <c r="B32" s="18"/>
      <c r="C32" s="62"/>
      <c r="D32" s="376" t="s">
        <v>285</v>
      </c>
      <c r="E32" s="376"/>
      <c r="F32" s="376"/>
      <c r="G32" s="376"/>
      <c r="H32" s="376"/>
      <c r="I32" s="376"/>
      <c r="J32" s="376"/>
      <c r="K32" s="376"/>
      <c r="L32" s="376"/>
      <c r="M32" s="62"/>
      <c r="N32" s="265">
        <v>0.5098925565320752</v>
      </c>
      <c r="O32" s="244"/>
      <c r="P32" s="243">
        <v>0.591</v>
      </c>
    </row>
    <row r="33" spans="1:16" s="19" customFormat="1" ht="12.75" customHeight="1">
      <c r="A33" s="18"/>
      <c r="B33" s="18"/>
      <c r="D33" s="376" t="s">
        <v>286</v>
      </c>
      <c r="E33" s="376"/>
      <c r="F33" s="376"/>
      <c r="G33" s="376"/>
      <c r="H33" s="376"/>
      <c r="I33" s="62"/>
      <c r="J33" s="62"/>
      <c r="K33" s="62"/>
      <c r="M33" s="62"/>
      <c r="N33" s="266" t="s">
        <v>149</v>
      </c>
      <c r="O33" s="62"/>
      <c r="P33" s="242">
        <v>0.3</v>
      </c>
    </row>
    <row r="34" spans="1:16" s="19" customFormat="1" ht="12.75" customHeight="1">
      <c r="A34" s="18"/>
      <c r="B34" s="18"/>
      <c r="D34" s="62"/>
      <c r="E34" s="62"/>
      <c r="F34" s="62"/>
      <c r="G34" s="62"/>
      <c r="H34" s="62"/>
      <c r="I34" s="62"/>
      <c r="J34" s="62"/>
      <c r="K34" s="62"/>
      <c r="L34" s="62"/>
      <c r="M34" s="62"/>
      <c r="N34" s="266"/>
      <c r="O34" s="62"/>
      <c r="P34" s="243"/>
    </row>
    <row r="35" spans="1:16" s="19" customFormat="1" ht="12.75" customHeight="1">
      <c r="A35" s="18"/>
      <c r="B35" s="18"/>
      <c r="D35" s="345" t="s">
        <v>385</v>
      </c>
      <c r="E35" s="345"/>
      <c r="F35" s="345"/>
      <c r="G35" s="345"/>
      <c r="H35" s="345"/>
      <c r="I35" s="345"/>
      <c r="J35" s="345"/>
      <c r="K35" s="345"/>
      <c r="L35" s="345"/>
      <c r="M35" s="62"/>
      <c r="N35" s="266"/>
      <c r="O35" s="62"/>
      <c r="P35" s="243"/>
    </row>
    <row r="36" spans="1:16" s="19" customFormat="1" ht="10.5" customHeight="1">
      <c r="A36" s="18"/>
      <c r="B36" s="18"/>
      <c r="C36" s="62"/>
      <c r="D36" s="62"/>
      <c r="E36" s="62"/>
      <c r="F36" s="62"/>
      <c r="G36" s="62"/>
      <c r="H36" s="62"/>
      <c r="I36" s="62"/>
      <c r="J36" s="62"/>
      <c r="K36" s="62"/>
      <c r="L36" s="62"/>
      <c r="M36" s="62"/>
      <c r="N36" s="62"/>
      <c r="O36" s="62"/>
      <c r="P36" s="62"/>
    </row>
    <row r="37" spans="3:16" s="19" customFormat="1" ht="10.5" customHeight="1">
      <c r="C37" s="62"/>
      <c r="D37" s="62"/>
      <c r="E37" s="62"/>
      <c r="F37" s="62"/>
      <c r="G37" s="62"/>
      <c r="H37" s="62"/>
      <c r="I37" s="62"/>
      <c r="J37" s="62"/>
      <c r="K37" s="62"/>
      <c r="L37" s="62"/>
      <c r="M37" s="62"/>
      <c r="N37" s="62"/>
      <c r="O37" s="62"/>
      <c r="P37" s="62"/>
    </row>
    <row r="38" spans="1:16" s="19" customFormat="1" ht="12.75">
      <c r="A38" s="18" t="s">
        <v>202</v>
      </c>
      <c r="B38" s="18"/>
      <c r="C38" s="18" t="s">
        <v>42</v>
      </c>
      <c r="D38" s="18"/>
      <c r="E38" s="18"/>
      <c r="P38" s="20"/>
    </row>
    <row r="39" s="19" customFormat="1" ht="10.5" customHeight="1">
      <c r="P39" s="20"/>
    </row>
    <row r="40" spans="3:16" s="19" customFormat="1" ht="15.75" customHeight="1">
      <c r="C40" s="372" t="s">
        <v>340</v>
      </c>
      <c r="D40" s="372"/>
      <c r="E40" s="372"/>
      <c r="F40" s="372"/>
      <c r="G40" s="372"/>
      <c r="H40" s="372"/>
      <c r="I40" s="372"/>
      <c r="J40" s="372"/>
      <c r="K40" s="372"/>
      <c r="L40" s="372"/>
      <c r="M40" s="372"/>
      <c r="N40" s="372"/>
      <c r="O40" s="372"/>
      <c r="P40" s="372"/>
    </row>
    <row r="41" ht="10.5" customHeight="1"/>
    <row r="42" ht="10.5" customHeight="1"/>
    <row r="43" spans="1:16" s="19" customFormat="1" ht="12.75">
      <c r="A43" s="18" t="s">
        <v>308</v>
      </c>
      <c r="B43" s="18"/>
      <c r="C43" s="18" t="s">
        <v>309</v>
      </c>
      <c r="D43" s="18"/>
      <c r="E43" s="18"/>
      <c r="P43" s="20"/>
    </row>
    <row r="44" s="19" customFormat="1" ht="10.5" customHeight="1">
      <c r="P44" s="20"/>
    </row>
    <row r="45" spans="3:16" s="19" customFormat="1" ht="39.75" customHeight="1">
      <c r="C45" s="372" t="s">
        <v>365</v>
      </c>
      <c r="D45" s="372"/>
      <c r="E45" s="372"/>
      <c r="F45" s="372"/>
      <c r="G45" s="372"/>
      <c r="H45" s="372"/>
      <c r="I45" s="372"/>
      <c r="J45" s="372"/>
      <c r="K45" s="372"/>
      <c r="L45" s="372"/>
      <c r="M45" s="372"/>
      <c r="N45" s="372"/>
      <c r="O45" s="372"/>
      <c r="P45" s="372"/>
    </row>
  </sheetData>
  <mergeCells count="16">
    <mergeCell ref="A1:P1"/>
    <mergeCell ref="A2:P2"/>
    <mergeCell ref="C22:P22"/>
    <mergeCell ref="D28:L28"/>
    <mergeCell ref="N25:Q25"/>
    <mergeCell ref="C24:P24"/>
    <mergeCell ref="C17:P17"/>
    <mergeCell ref="C12:P12"/>
    <mergeCell ref="C45:P45"/>
    <mergeCell ref="D33:H33"/>
    <mergeCell ref="C40:P40"/>
    <mergeCell ref="D32:L32"/>
    <mergeCell ref="D31:L31"/>
    <mergeCell ref="D35:L35"/>
    <mergeCell ref="D29:L29"/>
    <mergeCell ref="D30:L30"/>
  </mergeCells>
  <printOptions/>
  <pageMargins left="0.91" right="0.38" top="1.34" bottom="1.17" header="0.38" footer="1"/>
  <pageSetup horizontalDpi="300" verticalDpi="300" orientation="portrait" paperSize="9" scale="94" r:id="rId1"/>
  <headerFooter alignWithMargins="0">
    <oddFooter>&amp;C&amp;"Times New Roman,Regular"&amp;7- Page &amp;P+9 -</oddFooter>
  </headerFooter>
</worksheet>
</file>

<file path=xl/worksheets/sheet8.xml><?xml version="1.0" encoding="utf-8"?>
<worksheet xmlns="http://schemas.openxmlformats.org/spreadsheetml/2006/main" xmlns:r="http://schemas.openxmlformats.org/officeDocument/2006/relationships">
  <dimension ref="A1:R259"/>
  <sheetViews>
    <sheetView showGridLines="0" workbookViewId="0" topLeftCell="A1">
      <selection activeCell="A1" sqref="A1:P1"/>
    </sheetView>
  </sheetViews>
  <sheetFormatPr defaultColWidth="9.140625" defaultRowHeight="12.75"/>
  <cols>
    <col min="1" max="1" width="3.140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77" t="s">
        <v>93</v>
      </c>
      <c r="B1" s="377"/>
      <c r="C1" s="377"/>
      <c r="D1" s="377"/>
      <c r="E1" s="377"/>
      <c r="F1" s="377"/>
      <c r="G1" s="377"/>
      <c r="H1" s="377"/>
      <c r="I1" s="377"/>
      <c r="J1" s="377"/>
      <c r="K1" s="377"/>
      <c r="L1" s="377"/>
      <c r="M1" s="377"/>
      <c r="N1" s="377"/>
      <c r="O1" s="377"/>
      <c r="P1" s="377"/>
      <c r="Q1" s="137"/>
    </row>
    <row r="2" spans="1:17" s="19" customFormat="1" ht="12.75">
      <c r="A2" s="343" t="s">
        <v>5</v>
      </c>
      <c r="B2" s="343"/>
      <c r="C2" s="343"/>
      <c r="D2" s="343"/>
      <c r="E2" s="343"/>
      <c r="F2" s="343"/>
      <c r="G2" s="343"/>
      <c r="H2" s="343"/>
      <c r="I2" s="343"/>
      <c r="J2" s="343"/>
      <c r="K2" s="343"/>
      <c r="L2" s="343"/>
      <c r="M2" s="343"/>
      <c r="N2" s="343"/>
      <c r="O2" s="343"/>
      <c r="P2" s="343"/>
      <c r="Q2" s="138"/>
    </row>
    <row r="3" s="19" customFormat="1" ht="12.75">
      <c r="P3" s="18"/>
    </row>
    <row r="4" spans="1:16" s="19" customFormat="1" ht="14.25">
      <c r="A4" s="139" t="str">
        <f>'IS'!A4</f>
        <v>Interim report for the financial period ended 31 March 2003</v>
      </c>
      <c r="P4" s="18"/>
    </row>
    <row r="5" spans="1:16" s="19" customFormat="1" ht="12.75">
      <c r="A5" s="140" t="s">
        <v>125</v>
      </c>
      <c r="P5" s="18"/>
    </row>
    <row r="6" spans="1:15" s="80" customFormat="1" ht="12.75">
      <c r="A6" s="89"/>
      <c r="B6" s="89"/>
      <c r="C6" s="89"/>
      <c r="D6" s="89"/>
      <c r="E6" s="141"/>
      <c r="F6" s="89"/>
      <c r="G6" s="89"/>
      <c r="H6" s="89"/>
      <c r="I6" s="89"/>
      <c r="J6" s="89"/>
      <c r="K6" s="89"/>
      <c r="L6" s="89"/>
      <c r="M6" s="89"/>
      <c r="N6" s="89"/>
      <c r="O6" s="89"/>
    </row>
    <row r="7" s="19" customFormat="1" ht="12.75">
      <c r="A7" s="18" t="s">
        <v>228</v>
      </c>
    </row>
    <row r="8" s="19" customFormat="1" ht="12.75"/>
    <row r="9" spans="1:16" s="19" customFormat="1" ht="12.75">
      <c r="A9" s="18" t="s">
        <v>15</v>
      </c>
      <c r="B9" s="18"/>
      <c r="C9" s="18" t="s">
        <v>87</v>
      </c>
      <c r="D9" s="18"/>
      <c r="E9" s="18"/>
      <c r="P9" s="20"/>
    </row>
    <row r="10" s="19" customFormat="1" ht="12.75">
      <c r="P10" s="20"/>
    </row>
    <row r="11" spans="3:16" s="19" customFormat="1" ht="52.5" customHeight="1">
      <c r="C11" s="372" t="s">
        <v>349</v>
      </c>
      <c r="D11" s="372"/>
      <c r="E11" s="372"/>
      <c r="F11" s="372"/>
      <c r="G11" s="372"/>
      <c r="H11" s="372"/>
      <c r="I11" s="372"/>
      <c r="J11" s="372"/>
      <c r="K11" s="372"/>
      <c r="L11" s="372"/>
      <c r="M11" s="372"/>
      <c r="N11" s="372"/>
      <c r="O11" s="372"/>
      <c r="P11" s="372"/>
    </row>
    <row r="12" s="19" customFormat="1" ht="12.75">
      <c r="P12" s="20"/>
    </row>
    <row r="13" spans="3:16" s="19" customFormat="1" ht="67.5" customHeight="1">
      <c r="C13" s="384" t="s">
        <v>375</v>
      </c>
      <c r="D13" s="384"/>
      <c r="E13" s="384"/>
      <c r="F13" s="384"/>
      <c r="G13" s="384"/>
      <c r="H13" s="384"/>
      <c r="I13" s="384"/>
      <c r="J13" s="384"/>
      <c r="K13" s="384"/>
      <c r="L13" s="384"/>
      <c r="M13" s="384"/>
      <c r="N13" s="384"/>
      <c r="O13" s="384"/>
      <c r="P13" s="384"/>
    </row>
    <row r="14" s="19" customFormat="1" ht="12.75">
      <c r="P14" s="20"/>
    </row>
    <row r="15" spans="3:16" s="19" customFormat="1" ht="78" customHeight="1">
      <c r="C15" s="372" t="s">
        <v>366</v>
      </c>
      <c r="D15" s="372"/>
      <c r="E15" s="372"/>
      <c r="F15" s="372"/>
      <c r="G15" s="372"/>
      <c r="H15" s="372"/>
      <c r="I15" s="372"/>
      <c r="J15" s="372"/>
      <c r="K15" s="372"/>
      <c r="L15" s="372"/>
      <c r="M15" s="372"/>
      <c r="N15" s="372"/>
      <c r="O15" s="372"/>
      <c r="P15" s="372"/>
    </row>
    <row r="16" s="19" customFormat="1" ht="10.5" customHeight="1">
      <c r="P16" s="20"/>
    </row>
    <row r="17" spans="3:16" s="19" customFormat="1" ht="42" customHeight="1">
      <c r="C17" s="372" t="s">
        <v>376</v>
      </c>
      <c r="D17" s="372"/>
      <c r="E17" s="372"/>
      <c r="F17" s="372"/>
      <c r="G17" s="372"/>
      <c r="H17" s="372"/>
      <c r="I17" s="372"/>
      <c r="J17" s="372"/>
      <c r="K17" s="372"/>
      <c r="L17" s="372"/>
      <c r="M17" s="372"/>
      <c r="N17" s="372"/>
      <c r="O17" s="372"/>
      <c r="P17" s="372"/>
    </row>
    <row r="18" spans="3:16" s="19" customFormat="1" ht="13.5" customHeight="1">
      <c r="C18" s="59"/>
      <c r="D18" s="59"/>
      <c r="E18" s="59"/>
      <c r="F18" s="59"/>
      <c r="G18" s="59"/>
      <c r="H18" s="59"/>
      <c r="I18" s="59"/>
      <c r="J18" s="59"/>
      <c r="K18" s="59"/>
      <c r="L18" s="59"/>
      <c r="M18" s="59"/>
      <c r="N18" s="59"/>
      <c r="O18" s="59"/>
      <c r="P18" s="59"/>
    </row>
    <row r="19" spans="3:16" s="19" customFormat="1" ht="26.25" customHeight="1">
      <c r="C19" s="389" t="s">
        <v>367</v>
      </c>
      <c r="D19" s="390"/>
      <c r="E19" s="390"/>
      <c r="F19" s="390"/>
      <c r="G19" s="390"/>
      <c r="H19" s="390"/>
      <c r="I19" s="390"/>
      <c r="J19" s="390"/>
      <c r="K19" s="390"/>
      <c r="L19" s="390"/>
      <c r="M19" s="390"/>
      <c r="N19" s="390"/>
      <c r="O19" s="390"/>
      <c r="P19" s="390"/>
    </row>
    <row r="20" s="19" customFormat="1" ht="16.5" customHeight="1">
      <c r="P20" s="20"/>
    </row>
    <row r="21" spans="3:16" s="19" customFormat="1" ht="43.5" customHeight="1">
      <c r="C21" s="340" t="str">
        <f>"In the opinion of the Directors, the results for the financial period under review have not been affected by any transaction or event of a material or unusual nature which has arisen between"&amp;TEXT(Sheet1!B9," dd mmmm yyyy")&amp;" and the date of this announcement."</f>
        <v>In the opinion of the Directors, the results for the financial period under review have not been affected by any transaction or event of a material or unusual nature which has arisen between 31 March 2003 and the date of this announcement.</v>
      </c>
      <c r="D21" s="341"/>
      <c r="E21" s="341"/>
      <c r="F21" s="341"/>
      <c r="G21" s="341"/>
      <c r="H21" s="341"/>
      <c r="I21" s="341"/>
      <c r="J21" s="341"/>
      <c r="K21" s="341"/>
      <c r="L21" s="341"/>
      <c r="M21" s="341"/>
      <c r="N21" s="341"/>
      <c r="O21" s="341"/>
      <c r="P21" s="341"/>
    </row>
    <row r="22" spans="3:16" s="19" customFormat="1" ht="12.75">
      <c r="C22" s="59"/>
      <c r="D22" s="169"/>
      <c r="E22" s="169"/>
      <c r="F22" s="169"/>
      <c r="G22" s="169"/>
      <c r="H22" s="169"/>
      <c r="I22" s="169"/>
      <c r="J22" s="169"/>
      <c r="K22" s="169"/>
      <c r="L22" s="169"/>
      <c r="M22" s="169"/>
      <c r="N22" s="169"/>
      <c r="O22" s="169"/>
      <c r="P22" s="169"/>
    </row>
    <row r="23" spans="3:16" s="19" customFormat="1" ht="12.75">
      <c r="C23" s="59"/>
      <c r="D23" s="169"/>
      <c r="E23" s="169"/>
      <c r="F23" s="169"/>
      <c r="G23" s="169"/>
      <c r="H23" s="169"/>
      <c r="I23" s="169"/>
      <c r="J23" s="169"/>
      <c r="K23" s="169"/>
      <c r="L23" s="169"/>
      <c r="M23" s="169"/>
      <c r="N23" s="169"/>
      <c r="O23" s="169"/>
      <c r="P23" s="169"/>
    </row>
    <row r="24" spans="1:16" ht="28.5" customHeight="1">
      <c r="A24" s="15" t="s">
        <v>17</v>
      </c>
      <c r="B24" s="3"/>
      <c r="C24" s="382" t="s">
        <v>227</v>
      </c>
      <c r="D24" s="382"/>
      <c r="E24" s="383"/>
      <c r="F24" s="383"/>
      <c r="G24" s="383"/>
      <c r="H24" s="383"/>
      <c r="I24" s="383"/>
      <c r="J24" s="383"/>
      <c r="K24" s="383"/>
      <c r="L24" s="383"/>
      <c r="M24" s="383"/>
      <c r="N24" s="383"/>
      <c r="O24" s="383"/>
      <c r="P24" s="383"/>
    </row>
    <row r="25" s="19" customFormat="1" ht="12.75">
      <c r="P25" s="20"/>
    </row>
    <row r="26" spans="3:16" s="19" customFormat="1" ht="29.25" customHeight="1">
      <c r="C26" s="372" t="s">
        <v>381</v>
      </c>
      <c r="D26" s="372"/>
      <c r="E26" s="372"/>
      <c r="F26" s="372"/>
      <c r="G26" s="372"/>
      <c r="H26" s="372"/>
      <c r="I26" s="372"/>
      <c r="J26" s="372"/>
      <c r="K26" s="372"/>
      <c r="L26" s="372"/>
      <c r="M26" s="372"/>
      <c r="N26" s="372"/>
      <c r="O26" s="372"/>
      <c r="P26" s="372"/>
    </row>
    <row r="27" spans="3:16" s="19" customFormat="1" ht="12.75">
      <c r="C27" s="59"/>
      <c r="D27" s="59"/>
      <c r="E27" s="59"/>
      <c r="F27" s="59"/>
      <c r="G27" s="59"/>
      <c r="H27" s="59"/>
      <c r="I27" s="59"/>
      <c r="J27" s="59"/>
      <c r="K27" s="59"/>
      <c r="L27" s="59"/>
      <c r="M27" s="59"/>
      <c r="N27" s="59"/>
      <c r="O27" s="59"/>
      <c r="P27" s="59"/>
    </row>
    <row r="28" spans="3:16" s="19" customFormat="1" ht="12.75">
      <c r="C28" s="59"/>
      <c r="D28" s="59"/>
      <c r="E28" s="59"/>
      <c r="F28" s="59"/>
      <c r="G28" s="59"/>
      <c r="H28" s="59"/>
      <c r="I28" s="59"/>
      <c r="J28" s="59"/>
      <c r="K28" s="59"/>
      <c r="L28" s="59"/>
      <c r="M28" s="59"/>
      <c r="N28" s="59"/>
      <c r="O28" s="59"/>
      <c r="P28" s="59"/>
    </row>
    <row r="29" spans="3:16" s="19" customFormat="1" ht="12.75">
      <c r="C29" s="372" t="s">
        <v>161</v>
      </c>
      <c r="D29" s="372"/>
      <c r="E29" s="372"/>
      <c r="F29" s="372"/>
      <c r="G29" s="372"/>
      <c r="H29" s="372"/>
      <c r="I29" s="372"/>
      <c r="J29" s="372"/>
      <c r="K29" s="372"/>
      <c r="L29" s="372"/>
      <c r="M29" s="372"/>
      <c r="N29" s="372"/>
      <c r="O29" s="372"/>
      <c r="P29" s="372"/>
    </row>
    <row r="30" spans="3:16" s="19" customFormat="1" ht="12.75">
      <c r="C30" s="59"/>
      <c r="D30" s="59"/>
      <c r="E30" s="59"/>
      <c r="F30" s="59"/>
      <c r="G30" s="59"/>
      <c r="H30" s="59"/>
      <c r="I30" s="59"/>
      <c r="J30" s="59"/>
      <c r="K30" s="59"/>
      <c r="L30" s="59"/>
      <c r="M30" s="59"/>
      <c r="N30" s="59"/>
      <c r="O30" s="59"/>
      <c r="P30" s="59"/>
    </row>
    <row r="31" spans="5:16" s="19" customFormat="1" ht="25.5">
      <c r="E31" s="80"/>
      <c r="F31" s="80"/>
      <c r="G31" s="358"/>
      <c r="H31" s="358"/>
      <c r="I31" s="99"/>
      <c r="J31" s="358" t="s">
        <v>157</v>
      </c>
      <c r="K31" s="358"/>
      <c r="L31" s="99" t="s">
        <v>158</v>
      </c>
      <c r="M31" s="358" t="s">
        <v>160</v>
      </c>
      <c r="N31" s="358"/>
      <c r="O31" s="358"/>
      <c r="P31" s="358"/>
    </row>
    <row r="32" spans="5:16" s="19" customFormat="1" ht="12.75">
      <c r="E32" s="80"/>
      <c r="F32" s="80"/>
      <c r="G32" s="80"/>
      <c r="H32" s="100"/>
      <c r="I32" s="100"/>
      <c r="J32" s="339" t="s">
        <v>7</v>
      </c>
      <c r="K32" s="339"/>
      <c r="L32" s="100" t="s">
        <v>7</v>
      </c>
      <c r="M32" s="100"/>
      <c r="N32" s="100" t="s">
        <v>7</v>
      </c>
      <c r="P32" s="98"/>
    </row>
    <row r="33" spans="5:16" s="19" customFormat="1" ht="12.75">
      <c r="E33" s="80"/>
      <c r="F33" s="80"/>
      <c r="G33" s="80"/>
      <c r="H33" s="100"/>
      <c r="I33" s="100"/>
      <c r="K33" s="100"/>
      <c r="M33" s="100"/>
      <c r="N33" s="100"/>
      <c r="P33" s="123"/>
    </row>
    <row r="34" spans="3:16" s="19" customFormat="1" ht="13.5">
      <c r="C34" s="19" t="s">
        <v>45</v>
      </c>
      <c r="G34" s="342"/>
      <c r="H34" s="342"/>
      <c r="I34" s="102"/>
      <c r="J34" s="385">
        <f>'[5]quarter'!$D$21</f>
        <v>106894</v>
      </c>
      <c r="K34" s="385"/>
      <c r="L34" s="20">
        <v>161409</v>
      </c>
      <c r="M34" s="61"/>
      <c r="N34" s="163">
        <f>J34-L34</f>
        <v>-54515</v>
      </c>
      <c r="O34" s="124"/>
      <c r="P34" s="281">
        <f>N34/L34</f>
        <v>-0.3377444876060195</v>
      </c>
    </row>
    <row r="35" spans="3:16" s="19" customFormat="1" ht="13.5">
      <c r="C35" s="19" t="s">
        <v>119</v>
      </c>
      <c r="G35" s="342"/>
      <c r="H35" s="342"/>
      <c r="I35" s="102"/>
      <c r="J35" s="380">
        <f>'[5]quarter'!$D$22</f>
        <v>51371</v>
      </c>
      <c r="K35" s="381"/>
      <c r="L35" s="104">
        <v>46576</v>
      </c>
      <c r="M35" s="61"/>
      <c r="N35" s="164">
        <f aca="true" t="shared" si="0" ref="N35:N45">J35-L35</f>
        <v>4795</v>
      </c>
      <c r="O35" s="125"/>
      <c r="P35" s="281"/>
    </row>
    <row r="36" spans="3:16" s="19" customFormat="1" ht="13.5">
      <c r="C36" s="19" t="s">
        <v>120</v>
      </c>
      <c r="G36" s="342"/>
      <c r="H36" s="342"/>
      <c r="I36" s="102"/>
      <c r="J36" s="378">
        <f>'[5]quarter'!$D$23</f>
        <v>6570</v>
      </c>
      <c r="K36" s="379"/>
      <c r="L36" s="105">
        <v>7334</v>
      </c>
      <c r="M36" s="61"/>
      <c r="N36" s="165">
        <f t="shared" si="0"/>
        <v>-764</v>
      </c>
      <c r="O36" s="125"/>
      <c r="P36" s="281"/>
    </row>
    <row r="37" spans="3:16" s="19" customFormat="1" ht="13.5">
      <c r="C37" s="388" t="s">
        <v>96</v>
      </c>
      <c r="D37" s="388"/>
      <c r="E37" s="388"/>
      <c r="G37" s="342"/>
      <c r="H37" s="342"/>
      <c r="I37" s="73">
        <f>SUM(I35:I36)</f>
        <v>0</v>
      </c>
      <c r="J37" s="387">
        <f>SUM(J35:K36)</f>
        <v>57941</v>
      </c>
      <c r="K37" s="387"/>
      <c r="L37" s="112">
        <f>SUM(L35:M36)</f>
        <v>53910</v>
      </c>
      <c r="M37" s="61"/>
      <c r="N37" s="166">
        <f>SUM(N35:O36)</f>
        <v>4031</v>
      </c>
      <c r="O37" s="125"/>
      <c r="P37" s="281">
        <f aca="true" t="shared" si="1" ref="P37:P46">N37/L37</f>
        <v>0.07477276943053236</v>
      </c>
    </row>
    <row r="38" spans="3:16" s="19" customFormat="1" ht="13.5">
      <c r="C38" s="391" t="s">
        <v>284</v>
      </c>
      <c r="D38" s="391"/>
      <c r="E38" s="391"/>
      <c r="F38" s="391"/>
      <c r="G38" s="391"/>
      <c r="H38" s="391"/>
      <c r="I38" s="102"/>
      <c r="J38" s="385">
        <f>'[5]quarter'!$D$28</f>
        <v>24228</v>
      </c>
      <c r="K38" s="385"/>
      <c r="L38" s="20">
        <v>22832</v>
      </c>
      <c r="M38" s="61"/>
      <c r="N38" s="163">
        <f t="shared" si="0"/>
        <v>1396</v>
      </c>
      <c r="O38" s="124"/>
      <c r="P38" s="281">
        <f t="shared" si="1"/>
        <v>0.06114225648213034</v>
      </c>
    </row>
    <row r="39" spans="3:16" s="19" customFormat="1" ht="13.5">
      <c r="C39" s="19" t="s">
        <v>225</v>
      </c>
      <c r="G39" s="342"/>
      <c r="H39" s="342"/>
      <c r="I39" s="18"/>
      <c r="J39" s="385">
        <f>'[5]quarter'!$D$29</f>
        <v>-3396</v>
      </c>
      <c r="K39" s="385"/>
      <c r="L39" s="20">
        <v>-2062</v>
      </c>
      <c r="M39" s="61"/>
      <c r="N39" s="163">
        <f t="shared" si="0"/>
        <v>-1334</v>
      </c>
      <c r="O39" s="125"/>
      <c r="P39" s="281"/>
    </row>
    <row r="40" spans="7:16" s="19" customFormat="1" ht="13.5">
      <c r="G40" s="342"/>
      <c r="H40" s="342"/>
      <c r="I40" s="101">
        <f>SUM(I34:I39)-I37</f>
        <v>0</v>
      </c>
      <c r="J40" s="387">
        <f>SUM(J34:K39)-J37</f>
        <v>185667</v>
      </c>
      <c r="K40" s="387"/>
      <c r="L40" s="112">
        <f>SUM(L34:M39)-L37</f>
        <v>236089</v>
      </c>
      <c r="M40" s="61"/>
      <c r="N40" s="166">
        <f>SUM(N34:O39)-N37</f>
        <v>-50422</v>
      </c>
      <c r="O40" s="125"/>
      <c r="P40" s="281">
        <f t="shared" si="1"/>
        <v>-0.21357200038968355</v>
      </c>
    </row>
    <row r="41" spans="3:16" s="19" customFormat="1" ht="13.5">
      <c r="C41" s="396" t="s">
        <v>226</v>
      </c>
      <c r="D41" s="396"/>
      <c r="E41" s="396"/>
      <c r="F41" s="396"/>
      <c r="G41" s="396"/>
      <c r="H41" s="396"/>
      <c r="I41" s="101"/>
      <c r="J41" s="386">
        <f>'[5]quarter'!$D$31</f>
        <v>-14137</v>
      </c>
      <c r="K41" s="386"/>
      <c r="L41" s="60">
        <v>-17294</v>
      </c>
      <c r="M41" s="61"/>
      <c r="N41" s="235">
        <f t="shared" si="0"/>
        <v>3157</v>
      </c>
      <c r="O41" s="124"/>
      <c r="P41" s="281"/>
    </row>
    <row r="42" spans="3:16" s="19" customFormat="1" ht="12.75">
      <c r="C42" s="19" t="s">
        <v>210</v>
      </c>
      <c r="G42" s="354"/>
      <c r="H42" s="354"/>
      <c r="I42" s="73">
        <f>SUM(I40:J41)</f>
        <v>171530</v>
      </c>
      <c r="J42" s="342">
        <f>SUM(J40:K41)</f>
        <v>171530</v>
      </c>
      <c r="K42" s="342"/>
      <c r="L42" s="61">
        <f>SUM(K40:L41)</f>
        <v>218795</v>
      </c>
      <c r="M42" s="80"/>
      <c r="N42" s="234">
        <f>SUM(M40:N41)</f>
        <v>-47265</v>
      </c>
      <c r="O42" s="126"/>
      <c r="P42" s="281">
        <f>N42/L42</f>
        <v>-0.2160241321785233</v>
      </c>
    </row>
    <row r="43" spans="3:16" s="19" customFormat="1" ht="12.75">
      <c r="C43" s="19" t="s">
        <v>237</v>
      </c>
      <c r="G43" s="61"/>
      <c r="H43" s="61"/>
      <c r="I43" s="73"/>
      <c r="J43" s="342">
        <f>'IS'!C19</f>
        <v>-25644</v>
      </c>
      <c r="K43" s="342"/>
      <c r="L43" s="61">
        <v>-14933</v>
      </c>
      <c r="N43" s="163">
        <f t="shared" si="0"/>
        <v>-10711</v>
      </c>
      <c r="O43" s="126"/>
      <c r="P43" s="281">
        <f t="shared" si="1"/>
        <v>0.7172704747873836</v>
      </c>
    </row>
    <row r="44" spans="3:16" s="19" customFormat="1" ht="12.75">
      <c r="C44" s="19" t="s">
        <v>168</v>
      </c>
      <c r="G44" s="61"/>
      <c r="H44" s="61"/>
      <c r="I44" s="73"/>
      <c r="J44" s="342">
        <f>'IS'!C18</f>
        <v>5414</v>
      </c>
      <c r="K44" s="342"/>
      <c r="L44" s="61">
        <v>4544</v>
      </c>
      <c r="N44" s="163">
        <f t="shared" si="0"/>
        <v>870</v>
      </c>
      <c r="O44" s="126"/>
      <c r="P44" s="281">
        <f t="shared" si="1"/>
        <v>0.1914612676056338</v>
      </c>
    </row>
    <row r="45" spans="3:16" s="19" customFormat="1" ht="12.75">
      <c r="C45" s="376" t="s">
        <v>238</v>
      </c>
      <c r="D45" s="376"/>
      <c r="E45" s="376"/>
      <c r="F45" s="376"/>
      <c r="G45" s="376"/>
      <c r="H45" s="376"/>
      <c r="I45" s="62"/>
      <c r="J45" s="397">
        <f>'IS'!C20</f>
        <v>8494</v>
      </c>
      <c r="K45" s="397"/>
      <c r="L45" s="147">
        <v>10951</v>
      </c>
      <c r="M45" s="62"/>
      <c r="N45" s="163">
        <f t="shared" si="0"/>
        <v>-2457</v>
      </c>
      <c r="O45" s="62"/>
      <c r="P45" s="281">
        <f t="shared" si="1"/>
        <v>-0.22436307186558305</v>
      </c>
    </row>
    <row r="46" spans="3:16" s="19" customFormat="1" ht="13.5" thickBot="1">
      <c r="C46" s="376" t="s">
        <v>167</v>
      </c>
      <c r="D46" s="376"/>
      <c r="E46" s="376"/>
      <c r="F46" s="376"/>
      <c r="G46" s="376"/>
      <c r="H46" s="376"/>
      <c r="I46" s="62"/>
      <c r="J46" s="392">
        <f>SUM(J42:K45)</f>
        <v>159794</v>
      </c>
      <c r="K46" s="392"/>
      <c r="L46" s="236">
        <f>SUM(L42:L45)</f>
        <v>219357</v>
      </c>
      <c r="M46" s="62"/>
      <c r="N46" s="236">
        <f>SUM(N42:N45)</f>
        <v>-59563</v>
      </c>
      <c r="O46" s="62"/>
      <c r="P46" s="281">
        <f t="shared" si="1"/>
        <v>-0.2715345304685969</v>
      </c>
    </row>
    <row r="47" spans="3:16" s="19" customFormat="1" ht="12.75">
      <c r="C47" s="376"/>
      <c r="D47" s="376"/>
      <c r="E47" s="376"/>
      <c r="F47" s="376"/>
      <c r="G47" s="376"/>
      <c r="H47" s="376"/>
      <c r="I47" s="62"/>
      <c r="J47" s="62"/>
      <c r="K47" s="62"/>
      <c r="L47" s="62"/>
      <c r="M47" s="62"/>
      <c r="N47" s="62"/>
      <c r="O47" s="62"/>
      <c r="P47" s="62"/>
    </row>
    <row r="48" spans="3:16" s="19" customFormat="1" ht="12.75">
      <c r="C48" s="62"/>
      <c r="D48" s="62"/>
      <c r="E48" s="62"/>
      <c r="F48" s="62"/>
      <c r="G48" s="62"/>
      <c r="H48" s="62"/>
      <c r="I48" s="62"/>
      <c r="J48" s="62"/>
      <c r="K48" s="62"/>
      <c r="L48" s="62"/>
      <c r="M48" s="62"/>
      <c r="N48" s="62"/>
      <c r="O48" s="62"/>
      <c r="P48" s="62"/>
    </row>
    <row r="49" spans="1:16" s="19" customFormat="1" ht="12.75">
      <c r="A49" s="18" t="s">
        <v>18</v>
      </c>
      <c r="B49" s="18"/>
      <c r="C49" s="18" t="s">
        <v>47</v>
      </c>
      <c r="D49" s="18"/>
      <c r="E49" s="18"/>
      <c r="F49" s="18"/>
      <c r="G49" s="18"/>
      <c r="P49" s="20"/>
    </row>
    <row r="50" s="19" customFormat="1" ht="12.75">
      <c r="P50" s="20"/>
    </row>
    <row r="51" spans="3:16" s="19" customFormat="1" ht="49.5" customHeight="1">
      <c r="C51" s="372" t="s">
        <v>347</v>
      </c>
      <c r="D51" s="372"/>
      <c r="E51" s="372"/>
      <c r="F51" s="372"/>
      <c r="G51" s="372"/>
      <c r="H51" s="372"/>
      <c r="I51" s="372"/>
      <c r="J51" s="372"/>
      <c r="K51" s="372"/>
      <c r="L51" s="372"/>
      <c r="M51" s="372"/>
      <c r="N51" s="372"/>
      <c r="O51" s="372"/>
      <c r="P51" s="372"/>
    </row>
    <row r="52" spans="3:16" s="19" customFormat="1" ht="27" customHeight="1">
      <c r="C52" s="372" t="s">
        <v>350</v>
      </c>
      <c r="D52" s="372"/>
      <c r="E52" s="372"/>
      <c r="F52" s="372"/>
      <c r="G52" s="372"/>
      <c r="H52" s="372"/>
      <c r="I52" s="372"/>
      <c r="J52" s="372"/>
      <c r="K52" s="372"/>
      <c r="L52" s="372"/>
      <c r="M52" s="372"/>
      <c r="N52" s="372"/>
      <c r="O52" s="372"/>
      <c r="P52" s="372"/>
    </row>
    <row r="53" spans="3:16" s="19" customFormat="1" ht="12.75" customHeight="1">
      <c r="C53" s="59"/>
      <c r="D53" s="59"/>
      <c r="E53" s="59"/>
      <c r="F53" s="59"/>
      <c r="G53" s="59"/>
      <c r="H53" s="59"/>
      <c r="I53" s="59"/>
      <c r="J53" s="59"/>
      <c r="K53" s="59"/>
      <c r="L53" s="59"/>
      <c r="M53" s="59"/>
      <c r="N53" s="59"/>
      <c r="O53" s="59"/>
      <c r="P53" s="59"/>
    </row>
    <row r="54" spans="3:16" s="19" customFormat="1" ht="12.75">
      <c r="C54" s="59"/>
      <c r="D54" s="59"/>
      <c r="E54" s="59"/>
      <c r="F54" s="59"/>
      <c r="G54" s="59"/>
      <c r="H54" s="59"/>
      <c r="I54" s="59"/>
      <c r="J54" s="59"/>
      <c r="K54" s="59"/>
      <c r="L54" s="59"/>
      <c r="M54" s="59"/>
      <c r="N54" s="59"/>
      <c r="O54" s="59"/>
      <c r="P54" s="59"/>
    </row>
    <row r="55" spans="1:5" s="19" customFormat="1" ht="12.75">
      <c r="A55" s="18" t="s">
        <v>19</v>
      </c>
      <c r="B55" s="18"/>
      <c r="C55" s="18" t="s">
        <v>48</v>
      </c>
      <c r="D55" s="18"/>
      <c r="E55" s="18"/>
    </row>
    <row r="56" s="19" customFormat="1" ht="12.75"/>
    <row r="57" s="19" customFormat="1" ht="12.75">
      <c r="C57" s="19" t="s">
        <v>46</v>
      </c>
    </row>
    <row r="58" spans="3:16" s="19" customFormat="1" ht="12.75">
      <c r="C58" s="62"/>
      <c r="D58" s="62"/>
      <c r="E58" s="62"/>
      <c r="F58" s="62"/>
      <c r="G58" s="62"/>
      <c r="H58" s="62"/>
      <c r="I58" s="62"/>
      <c r="J58" s="62"/>
      <c r="K58" s="62"/>
      <c r="L58" s="62"/>
      <c r="M58" s="62"/>
      <c r="N58" s="62"/>
      <c r="O58" s="62"/>
      <c r="P58" s="62"/>
    </row>
    <row r="59" s="19" customFormat="1" ht="12.75"/>
    <row r="60" spans="1:7" s="19" customFormat="1" ht="12.75">
      <c r="A60" s="18" t="s">
        <v>23</v>
      </c>
      <c r="B60" s="18"/>
      <c r="C60" s="18" t="s">
        <v>6</v>
      </c>
      <c r="D60" s="18"/>
      <c r="E60" s="18"/>
      <c r="F60" s="18"/>
      <c r="G60" s="18"/>
    </row>
    <row r="61" spans="3:17" s="19" customFormat="1" ht="15" customHeight="1">
      <c r="C61" s="136"/>
      <c r="D61" s="136"/>
      <c r="E61" s="136"/>
      <c r="F61" s="136"/>
      <c r="G61" s="136"/>
      <c r="H61" s="148"/>
      <c r="I61" s="148"/>
      <c r="J61" s="359" t="str">
        <f>"INDIVIDUAL QUARTER ("&amp;Sheet1!$B$4&amp;")"</f>
        <v>INDIVIDUAL QUARTER (Q3)</v>
      </c>
      <c r="K61" s="359"/>
      <c r="L61" s="359"/>
      <c r="M61" s="149"/>
      <c r="N61" s="359" t="str">
        <f>"CUMULATIVE QUARTER ("&amp;Sheet1!$B$6&amp;" Mths)"</f>
        <v>CUMULATIVE QUARTER (9 Mths)</v>
      </c>
      <c r="O61" s="359"/>
      <c r="P61" s="359"/>
      <c r="Q61" s="98"/>
    </row>
    <row r="62" spans="3:17" s="19" customFormat="1" ht="52.5" customHeight="1">
      <c r="C62" s="136"/>
      <c r="D62" s="136"/>
      <c r="E62" s="136"/>
      <c r="F62" s="136"/>
      <c r="G62" s="136"/>
      <c r="H62" s="150"/>
      <c r="I62" s="150"/>
      <c r="J62" s="134" t="s">
        <v>8</v>
      </c>
      <c r="K62" s="134"/>
      <c r="L62" s="134" t="s">
        <v>92</v>
      </c>
      <c r="M62" s="83"/>
      <c r="N62" s="134" t="s">
        <v>91</v>
      </c>
      <c r="O62" s="134"/>
      <c r="P62" s="134" t="s">
        <v>10</v>
      </c>
      <c r="Q62" s="98"/>
    </row>
    <row r="63" spans="3:17" s="19" customFormat="1" ht="12.75">
      <c r="C63" s="136"/>
      <c r="D63" s="136"/>
      <c r="E63" s="136"/>
      <c r="F63" s="136"/>
      <c r="G63" s="136"/>
      <c r="H63" s="128"/>
      <c r="I63" s="128"/>
      <c r="J63" s="97" t="s">
        <v>7</v>
      </c>
      <c r="K63" s="97"/>
      <c r="L63" s="97" t="s">
        <v>7</v>
      </c>
      <c r="M63" s="128"/>
      <c r="N63" s="97" t="s">
        <v>7</v>
      </c>
      <c r="O63" s="97"/>
      <c r="P63" s="97" t="s">
        <v>7</v>
      </c>
      <c r="Q63" s="98"/>
    </row>
    <row r="64" spans="3:17" s="19" customFormat="1" ht="12.75">
      <c r="C64" s="136"/>
      <c r="D64" s="136"/>
      <c r="E64" s="136"/>
      <c r="F64" s="136"/>
      <c r="G64" s="136"/>
      <c r="H64" s="62"/>
      <c r="I64" s="62"/>
      <c r="J64" s="62"/>
      <c r="K64" s="62"/>
      <c r="L64" s="98"/>
      <c r="M64" s="62"/>
      <c r="N64" s="62"/>
      <c r="O64" s="62"/>
      <c r="P64" s="98"/>
      <c r="Q64" s="98"/>
    </row>
    <row r="65" spans="3:17" s="19" customFormat="1" ht="12.75">
      <c r="C65" s="136" t="s">
        <v>22</v>
      </c>
      <c r="D65" s="136"/>
      <c r="E65" s="136"/>
      <c r="F65" s="136"/>
      <c r="G65" s="136"/>
      <c r="H65" s="62"/>
      <c r="I65" s="62"/>
      <c r="J65" s="62"/>
      <c r="K65" s="62"/>
      <c r="L65" s="98"/>
      <c r="M65" s="62"/>
      <c r="N65" s="62"/>
      <c r="O65" s="62"/>
      <c r="P65" s="98"/>
      <c r="Q65" s="98"/>
    </row>
    <row r="66" spans="3:18" s="19" customFormat="1" ht="15.75" customHeight="1">
      <c r="C66" s="357" t="s">
        <v>123</v>
      </c>
      <c r="D66" s="357"/>
      <c r="E66" s="357"/>
      <c r="F66" s="357"/>
      <c r="G66" s="357"/>
      <c r="H66" s="357"/>
      <c r="I66" s="151"/>
      <c r="J66" s="152">
        <f>'[2]workings'!$F$49</f>
        <v>30045</v>
      </c>
      <c r="K66" s="152"/>
      <c r="L66" s="153">
        <v>37182</v>
      </c>
      <c r="M66" s="151"/>
      <c r="N66" s="152">
        <f>'[2]workings'!$D$49</f>
        <v>96012</v>
      </c>
      <c r="O66" s="152"/>
      <c r="P66" s="153">
        <v>79409</v>
      </c>
      <c r="Q66" s="100"/>
      <c r="R66" s="153"/>
    </row>
    <row r="67" spans="3:18" s="103" customFormat="1" ht="26.25" customHeight="1">
      <c r="C67" s="393" t="s">
        <v>368</v>
      </c>
      <c r="D67" s="393"/>
      <c r="E67" s="393"/>
      <c r="F67" s="393"/>
      <c r="G67" s="393"/>
      <c r="H67" s="393"/>
      <c r="I67" s="154"/>
      <c r="J67" s="119">
        <f>SUM('[2]workings'!$F$50:$F$51)</f>
        <v>1614</v>
      </c>
      <c r="K67" s="119"/>
      <c r="L67" s="120">
        <v>2108</v>
      </c>
      <c r="M67" s="154"/>
      <c r="N67" s="119">
        <f>SUM('[2]workings'!$D$50:$D$51)</f>
        <v>-3384</v>
      </c>
      <c r="O67" s="119"/>
      <c r="P67" s="120">
        <v>-4720</v>
      </c>
      <c r="Q67" s="100"/>
      <c r="R67" s="120"/>
    </row>
    <row r="68" spans="3:18" s="19" customFormat="1" ht="15.75" customHeight="1">
      <c r="C68" s="357" t="s">
        <v>20</v>
      </c>
      <c r="D68" s="357"/>
      <c r="E68" s="357"/>
      <c r="F68" s="357"/>
      <c r="G68" s="357"/>
      <c r="H68" s="357"/>
      <c r="I68" s="151"/>
      <c r="J68" s="152">
        <f>SUM('[2]workings'!$F$53:$F$58)</f>
        <v>6885</v>
      </c>
      <c r="K68" s="152"/>
      <c r="L68" s="153">
        <f>-6782+3198</f>
        <v>-3584</v>
      </c>
      <c r="M68" s="151"/>
      <c r="N68" s="152">
        <f>SUM('[2]workings'!$D$53:$D$58)</f>
        <v>22934</v>
      </c>
      <c r="O68" s="152"/>
      <c r="P68" s="153">
        <f>-8199+2051</f>
        <v>-6148</v>
      </c>
      <c r="Q68" s="100"/>
      <c r="R68" s="153"/>
    </row>
    <row r="69" spans="3:18" s="19" customFormat="1" ht="15.75" customHeight="1">
      <c r="C69" s="357" t="s">
        <v>21</v>
      </c>
      <c r="D69" s="357"/>
      <c r="E69" s="357"/>
      <c r="F69" s="357"/>
      <c r="G69" s="357"/>
      <c r="H69" s="357"/>
      <c r="I69" s="151"/>
      <c r="J69" s="152">
        <f>'[2]workings'!$F$52</f>
        <v>660</v>
      </c>
      <c r="K69" s="152"/>
      <c r="L69" s="153">
        <v>1572</v>
      </c>
      <c r="M69" s="151"/>
      <c r="N69" s="152">
        <f>'[2]workings'!$D$52</f>
        <v>2543</v>
      </c>
      <c r="O69" s="152"/>
      <c r="P69" s="153">
        <v>5459</v>
      </c>
      <c r="Q69" s="100"/>
      <c r="R69" s="153"/>
    </row>
    <row r="70" spans="8:17" s="155" customFormat="1" ht="18" customHeight="1" thickBot="1">
      <c r="H70" s="156"/>
      <c r="I70" s="156"/>
      <c r="J70" s="157">
        <f>SUM(J66:J69)</f>
        <v>39204</v>
      </c>
      <c r="K70" s="157"/>
      <c r="L70" s="158">
        <f>SUM(L66:L69)</f>
        <v>37278</v>
      </c>
      <c r="M70" s="156"/>
      <c r="N70" s="157">
        <f>SUM(N66:N69)</f>
        <v>118105</v>
      </c>
      <c r="O70" s="157"/>
      <c r="P70" s="158">
        <f>SUM(P66:P69)</f>
        <v>74000</v>
      </c>
      <c r="Q70" s="159"/>
    </row>
    <row r="71" spans="3:17" s="19" customFormat="1" ht="12.75">
      <c r="C71" s="136"/>
      <c r="D71" s="136"/>
      <c r="E71" s="136"/>
      <c r="F71" s="136"/>
      <c r="G71" s="136"/>
      <c r="H71" s="89"/>
      <c r="I71" s="89"/>
      <c r="J71" s="160"/>
      <c r="L71" s="160"/>
      <c r="N71" s="89"/>
      <c r="O71" s="160"/>
      <c r="P71" s="160"/>
      <c r="Q71" s="147"/>
    </row>
    <row r="72" spans="3:17" s="19" customFormat="1" ht="43.5" customHeight="1">
      <c r="C72" s="376" t="s">
        <v>264</v>
      </c>
      <c r="D72" s="376"/>
      <c r="E72" s="376"/>
      <c r="F72" s="376"/>
      <c r="G72" s="376"/>
      <c r="H72" s="376"/>
      <c r="I72" s="376"/>
      <c r="J72" s="376"/>
      <c r="K72" s="376"/>
      <c r="L72" s="376"/>
      <c r="M72" s="376"/>
      <c r="N72" s="376"/>
      <c r="O72" s="376"/>
      <c r="P72" s="376"/>
      <c r="Q72" s="147"/>
    </row>
    <row r="73" spans="3:17" s="19" customFormat="1" ht="12.75">
      <c r="C73" s="136"/>
      <c r="D73" s="136"/>
      <c r="E73" s="136"/>
      <c r="F73" s="136"/>
      <c r="G73" s="136"/>
      <c r="H73" s="89"/>
      <c r="I73" s="89"/>
      <c r="J73" s="160"/>
      <c r="K73" s="160"/>
      <c r="L73" s="161"/>
      <c r="M73" s="89"/>
      <c r="N73" s="160"/>
      <c r="O73" s="160"/>
      <c r="P73" s="161"/>
      <c r="Q73" s="147"/>
    </row>
    <row r="74" spans="3:17" s="19" customFormat="1" ht="12.75">
      <c r="C74" s="136"/>
      <c r="D74" s="136"/>
      <c r="E74" s="136"/>
      <c r="F74" s="136"/>
      <c r="G74" s="136"/>
      <c r="H74" s="89"/>
      <c r="I74" s="89"/>
      <c r="J74" s="89"/>
      <c r="K74" s="89"/>
      <c r="L74" s="89"/>
      <c r="M74" s="89"/>
      <c r="N74" s="89"/>
      <c r="O74" s="89"/>
      <c r="P74" s="151"/>
      <c r="Q74" s="147"/>
    </row>
    <row r="75" spans="1:17" s="19" customFormat="1" ht="12.75">
      <c r="A75" s="18" t="s">
        <v>24</v>
      </c>
      <c r="B75" s="18"/>
      <c r="C75" s="162" t="s">
        <v>316</v>
      </c>
      <c r="D75" s="162"/>
      <c r="E75" s="162"/>
      <c r="F75" s="162"/>
      <c r="G75" s="162"/>
      <c r="H75" s="89"/>
      <c r="I75" s="89"/>
      <c r="J75" s="89"/>
      <c r="K75" s="89"/>
      <c r="L75" s="89"/>
      <c r="M75" s="89"/>
      <c r="N75" s="89"/>
      <c r="O75" s="89"/>
      <c r="P75" s="89"/>
      <c r="Q75" s="103"/>
    </row>
    <row r="76" spans="1:17" s="19" customFormat="1" ht="12.75">
      <c r="A76" s="18"/>
      <c r="B76" s="18"/>
      <c r="C76" s="162"/>
      <c r="D76" s="162"/>
      <c r="E76" s="162"/>
      <c r="F76" s="162"/>
      <c r="G76" s="162"/>
      <c r="H76" s="89"/>
      <c r="I76" s="89"/>
      <c r="J76" s="89"/>
      <c r="K76" s="89"/>
      <c r="L76" s="89"/>
      <c r="M76" s="89"/>
      <c r="N76" s="89"/>
      <c r="O76" s="89"/>
      <c r="P76" s="89"/>
      <c r="Q76" s="103"/>
    </row>
    <row r="77" spans="1:17" s="19" customFormat="1" ht="12.75">
      <c r="A77" s="18"/>
      <c r="B77" s="18"/>
      <c r="C77" s="136"/>
      <c r="D77" s="136"/>
      <c r="E77" s="136"/>
      <c r="F77" s="136"/>
      <c r="G77" s="136"/>
      <c r="H77" s="148"/>
      <c r="I77" s="148"/>
      <c r="J77" s="359" t="str">
        <f>"INDIVIDUAL PERIOD ("&amp;Sheet1!$B$4&amp;")"</f>
        <v>INDIVIDUAL PERIOD (Q3)</v>
      </c>
      <c r="K77" s="359"/>
      <c r="L77" s="359"/>
      <c r="M77" s="149"/>
      <c r="N77" s="359" t="str">
        <f>"CUMULATIVE PERIOD ("&amp;Sheet1!$B$6&amp;" Mths)"</f>
        <v>CUMULATIVE PERIOD (9 Mths)</v>
      </c>
      <c r="O77" s="359"/>
      <c r="P77" s="359"/>
      <c r="Q77" s="103"/>
    </row>
    <row r="78" spans="1:17" s="19" customFormat="1" ht="42">
      <c r="A78" s="18"/>
      <c r="B78" s="18"/>
      <c r="C78" s="136"/>
      <c r="D78" s="136"/>
      <c r="E78" s="136"/>
      <c r="F78" s="136"/>
      <c r="G78" s="136"/>
      <c r="H78" s="150"/>
      <c r="I78" s="150"/>
      <c r="J78" s="134" t="s">
        <v>8</v>
      </c>
      <c r="K78" s="134"/>
      <c r="L78" s="134" t="s">
        <v>92</v>
      </c>
      <c r="M78" s="83"/>
      <c r="N78" s="134" t="s">
        <v>91</v>
      </c>
      <c r="O78" s="134"/>
      <c r="P78" s="134" t="s">
        <v>10</v>
      </c>
      <c r="Q78" s="103"/>
    </row>
    <row r="79" spans="1:17" s="19" customFormat="1" ht="12.75">
      <c r="A79" s="18"/>
      <c r="B79" s="18"/>
      <c r="C79" s="136"/>
      <c r="D79" s="136"/>
      <c r="E79" s="136"/>
      <c r="F79" s="136"/>
      <c r="G79" s="136"/>
      <c r="H79" s="128"/>
      <c r="I79" s="128"/>
      <c r="J79" s="97" t="s">
        <v>7</v>
      </c>
      <c r="K79" s="97"/>
      <c r="L79" s="97" t="s">
        <v>7</v>
      </c>
      <c r="M79" s="128"/>
      <c r="N79" s="97" t="s">
        <v>7</v>
      </c>
      <c r="O79" s="97"/>
      <c r="P79" s="97" t="s">
        <v>7</v>
      </c>
      <c r="Q79" s="103"/>
    </row>
    <row r="80" spans="1:17" s="19" customFormat="1" ht="12.75">
      <c r="A80" s="18"/>
      <c r="B80" s="18"/>
      <c r="C80" s="136"/>
      <c r="D80" s="136"/>
      <c r="E80" s="136"/>
      <c r="F80" s="136"/>
      <c r="G80" s="136"/>
      <c r="H80" s="62"/>
      <c r="I80" s="62"/>
      <c r="J80" s="62"/>
      <c r="K80" s="62"/>
      <c r="L80" s="98"/>
      <c r="M80" s="62"/>
      <c r="N80" s="62"/>
      <c r="O80" s="62"/>
      <c r="P80" s="98"/>
      <c r="Q80" s="103"/>
    </row>
    <row r="81" spans="3:17" s="19" customFormat="1" ht="24" customHeight="1">
      <c r="C81" s="357" t="s">
        <v>248</v>
      </c>
      <c r="D81" s="357"/>
      <c r="E81" s="357"/>
      <c r="F81" s="357"/>
      <c r="G81" s="357"/>
      <c r="H81" s="357"/>
      <c r="I81" s="151"/>
      <c r="J81" s="152">
        <v>0</v>
      </c>
      <c r="K81" s="152"/>
      <c r="L81" s="153">
        <v>0</v>
      </c>
      <c r="M81" s="151"/>
      <c r="N81" s="152">
        <v>-4137</v>
      </c>
      <c r="O81" s="152"/>
      <c r="P81" s="153">
        <v>0</v>
      </c>
      <c r="Q81" s="103"/>
    </row>
    <row r="82" spans="3:17" s="19" customFormat="1" ht="12.75">
      <c r="C82" s="237"/>
      <c r="D82" s="237"/>
      <c r="E82" s="237"/>
      <c r="F82" s="237"/>
      <c r="G82" s="237"/>
      <c r="H82" s="237"/>
      <c r="I82" s="151"/>
      <c r="J82" s="152"/>
      <c r="K82" s="152"/>
      <c r="L82" s="153"/>
      <c r="M82" s="151"/>
      <c r="N82" s="152"/>
      <c r="O82" s="152"/>
      <c r="P82" s="153"/>
      <c r="Q82" s="103"/>
    </row>
    <row r="83" spans="3:17" s="19" customFormat="1" ht="12.75">
      <c r="C83" s="103"/>
      <c r="D83" s="103"/>
      <c r="E83" s="103"/>
      <c r="F83" s="103"/>
      <c r="G83" s="103"/>
      <c r="H83" s="89"/>
      <c r="I83" s="89"/>
      <c r="J83" s="89"/>
      <c r="K83" s="89"/>
      <c r="L83" s="89"/>
      <c r="M83" s="89"/>
      <c r="N83" s="89"/>
      <c r="O83" s="89"/>
      <c r="P83" s="89"/>
      <c r="Q83" s="103"/>
    </row>
    <row r="84" spans="1:7" s="19" customFormat="1" ht="12.75">
      <c r="A84" s="18" t="s">
        <v>25</v>
      </c>
      <c r="B84" s="18"/>
      <c r="C84" s="18" t="s">
        <v>26</v>
      </c>
      <c r="D84" s="18"/>
      <c r="E84" s="18"/>
      <c r="F84" s="18"/>
      <c r="G84" s="18"/>
    </row>
    <row r="85" spans="1:7" s="19" customFormat="1" ht="12.75">
      <c r="A85" s="18"/>
      <c r="B85" s="18"/>
      <c r="C85" s="18" t="s">
        <v>137</v>
      </c>
      <c r="D85" s="18"/>
      <c r="E85" s="18"/>
      <c r="F85" s="18"/>
      <c r="G85" s="18"/>
    </row>
    <row r="86" s="19" customFormat="1" ht="12.75"/>
    <row r="87" spans="2:16" s="19" customFormat="1" ht="12.75">
      <c r="B87" s="136" t="s">
        <v>27</v>
      </c>
      <c r="C87" s="376" t="s">
        <v>100</v>
      </c>
      <c r="D87" s="376"/>
      <c r="E87" s="376"/>
      <c r="F87" s="376"/>
      <c r="G87" s="376"/>
      <c r="H87" s="376"/>
      <c r="I87" s="376"/>
      <c r="J87" s="376"/>
      <c r="K87" s="376"/>
      <c r="L87" s="376"/>
      <c r="M87" s="376"/>
      <c r="N87" s="376"/>
      <c r="O87" s="376"/>
      <c r="P87" s="376"/>
    </row>
    <row r="88" spans="2:16" s="19" customFormat="1" ht="12.75">
      <c r="B88" s="136"/>
      <c r="C88" s="62"/>
      <c r="D88" s="62"/>
      <c r="E88" s="62"/>
      <c r="F88" s="62"/>
      <c r="G88" s="62"/>
      <c r="H88" s="62"/>
      <c r="I88" s="62"/>
      <c r="J88" s="359" t="str">
        <f>"INDIVIDUAL QUARTER ("&amp;Sheet1!$B$4&amp;")"</f>
        <v>INDIVIDUAL QUARTER (Q3)</v>
      </c>
      <c r="K88" s="359"/>
      <c r="L88" s="359"/>
      <c r="M88" s="149"/>
      <c r="N88" s="359" t="str">
        <f>"CUMULATIVE QUARTER ("&amp;Sheet1!$B$6&amp;" Mths)"</f>
        <v>CUMULATIVE QUARTER (9 Mths)</v>
      </c>
      <c r="O88" s="359"/>
      <c r="P88" s="359"/>
    </row>
    <row r="89" spans="10:16" s="19" customFormat="1" ht="42">
      <c r="J89" s="134" t="s">
        <v>8</v>
      </c>
      <c r="K89" s="134"/>
      <c r="L89" s="134" t="s">
        <v>92</v>
      </c>
      <c r="M89" s="83"/>
      <c r="N89" s="134" t="s">
        <v>91</v>
      </c>
      <c r="O89" s="394" t="s">
        <v>10</v>
      </c>
      <c r="P89" s="394"/>
    </row>
    <row r="90" spans="10:16" s="19" customFormat="1" ht="12.75">
      <c r="J90" s="97" t="s">
        <v>7</v>
      </c>
      <c r="K90" s="97"/>
      <c r="L90" s="97" t="s">
        <v>7</v>
      </c>
      <c r="M90" s="128"/>
      <c r="N90" s="97" t="s">
        <v>7</v>
      </c>
      <c r="O90" s="97"/>
      <c r="P90" s="97" t="s">
        <v>7</v>
      </c>
    </row>
    <row r="91" spans="14:16" s="19" customFormat="1" ht="12.75">
      <c r="N91" s="97"/>
      <c r="O91" s="97"/>
      <c r="P91" s="97"/>
    </row>
    <row r="92" spans="3:18" s="19" customFormat="1" ht="12.75">
      <c r="C92" s="19" t="s">
        <v>144</v>
      </c>
      <c r="J92" s="297">
        <v>0</v>
      </c>
      <c r="K92" s="101"/>
      <c r="L92" s="298" t="s">
        <v>149</v>
      </c>
      <c r="M92" s="20"/>
      <c r="N92" s="297">
        <f>1522-12</f>
        <v>1510</v>
      </c>
      <c r="O92" s="101"/>
      <c r="P92" s="298">
        <v>3627</v>
      </c>
      <c r="R92" s="299"/>
    </row>
    <row r="93" spans="3:18" s="19" customFormat="1" ht="12.75">
      <c r="C93" s="19" t="s">
        <v>145</v>
      </c>
      <c r="J93" s="297">
        <v>678</v>
      </c>
      <c r="K93" s="297"/>
      <c r="L93" s="298">
        <v>10982</v>
      </c>
      <c r="M93" s="20"/>
      <c r="N93" s="297">
        <f>24776+678</f>
        <v>25454</v>
      </c>
      <c r="O93" s="297"/>
      <c r="P93" s="298">
        <v>15764</v>
      </c>
      <c r="R93" s="299"/>
    </row>
    <row r="94" spans="3:18" s="19" customFormat="1" ht="12.75">
      <c r="C94" s="19" t="s">
        <v>152</v>
      </c>
      <c r="J94" s="297">
        <v>492</v>
      </c>
      <c r="K94" s="297"/>
      <c r="L94" s="298">
        <v>4130</v>
      </c>
      <c r="M94" s="20"/>
      <c r="N94" s="297">
        <f>9255+492</f>
        <v>9747</v>
      </c>
      <c r="O94" s="297"/>
      <c r="P94" s="298">
        <v>4977</v>
      </c>
      <c r="R94" s="298"/>
    </row>
    <row r="95" spans="3:16" s="19" customFormat="1" ht="12.75" customHeight="1">
      <c r="C95" s="19" t="s">
        <v>155</v>
      </c>
      <c r="J95" s="297">
        <v>0</v>
      </c>
      <c r="L95" s="298">
        <v>-328</v>
      </c>
      <c r="N95" s="297">
        <v>0</v>
      </c>
      <c r="P95" s="298">
        <v>-330</v>
      </c>
    </row>
    <row r="96" spans="10:16" s="19" customFormat="1" ht="12.75" customHeight="1">
      <c r="J96" s="297"/>
      <c r="L96" s="298"/>
      <c r="N96" s="101"/>
      <c r="P96" s="298"/>
    </row>
    <row r="97" s="19" customFormat="1" ht="18" customHeight="1"/>
    <row r="98" spans="2:3" s="19" customFormat="1" ht="18" customHeight="1">
      <c r="B98" s="19" t="s">
        <v>28</v>
      </c>
      <c r="C98" s="19" t="str">
        <f>"Total investments in quoted securities as at "&amp;TEXT(Sheet1!B9,"dd mmmm yyyy")&amp;" are as follows:"</f>
        <v>Total investments in quoted securities as at 31 March 2003 are as follows:</v>
      </c>
    </row>
    <row r="99" spans="10:16" s="85" customFormat="1" ht="12">
      <c r="J99" s="300"/>
      <c r="K99" s="300"/>
      <c r="L99" s="300"/>
      <c r="M99" s="300"/>
      <c r="N99" s="300"/>
      <c r="O99" s="81"/>
      <c r="P99" s="81"/>
    </row>
    <row r="100" spans="10:16" s="19" customFormat="1" ht="12.75">
      <c r="J100" s="358"/>
      <c r="K100" s="358"/>
      <c r="L100" s="99"/>
      <c r="M100" s="99"/>
      <c r="N100" s="99"/>
      <c r="O100" s="99"/>
      <c r="P100" s="99" t="s">
        <v>7</v>
      </c>
    </row>
    <row r="101" spans="3:16" s="19" customFormat="1" ht="12.75">
      <c r="C101" s="18" t="s">
        <v>153</v>
      </c>
      <c r="J101" s="80"/>
      <c r="K101" s="80"/>
      <c r="L101" s="80"/>
      <c r="M101" s="80"/>
      <c r="N101" s="80"/>
      <c r="O101" s="97"/>
      <c r="P101" s="97"/>
    </row>
    <row r="102" spans="3:16" s="19" customFormat="1" ht="4.5" customHeight="1">
      <c r="C102" s="18"/>
      <c r="J102" s="80"/>
      <c r="K102" s="80"/>
      <c r="L102" s="80"/>
      <c r="M102" s="80"/>
      <c r="N102" s="80"/>
      <c r="O102" s="97"/>
      <c r="P102" s="97"/>
    </row>
    <row r="103" spans="3:16" s="19" customFormat="1" ht="12.75">
      <c r="C103" s="19" t="s">
        <v>29</v>
      </c>
      <c r="J103" s="354"/>
      <c r="K103" s="354"/>
      <c r="L103" s="61"/>
      <c r="M103" s="61"/>
      <c r="N103" s="61"/>
      <c r="O103" s="101"/>
      <c r="P103" s="101">
        <v>27630</v>
      </c>
    </row>
    <row r="104" spans="3:16" s="19" customFormat="1" ht="12.75">
      <c r="C104" s="356" t="s">
        <v>151</v>
      </c>
      <c r="D104" s="356"/>
      <c r="E104" s="356"/>
      <c r="F104" s="356"/>
      <c r="G104" s="356"/>
      <c r="H104" s="356"/>
      <c r="J104" s="354"/>
      <c r="K104" s="354"/>
      <c r="L104" s="61"/>
      <c r="M104" s="61"/>
      <c r="N104" s="61"/>
      <c r="O104" s="101"/>
      <c r="P104" s="101">
        <f>-8713-403</f>
        <v>-9116</v>
      </c>
    </row>
    <row r="105" spans="3:16" s="19" customFormat="1" ht="17.25" customHeight="1" thickBot="1">
      <c r="C105" s="19" t="s">
        <v>97</v>
      </c>
      <c r="J105" s="355"/>
      <c r="K105" s="355"/>
      <c r="L105" s="61"/>
      <c r="M105" s="61"/>
      <c r="N105" s="61"/>
      <c r="O105" s="73"/>
      <c r="P105" s="301">
        <f>SUM(P103:P104)</f>
        <v>18514</v>
      </c>
    </row>
    <row r="106" spans="10:16" s="80" customFormat="1" ht="17.25" customHeight="1">
      <c r="J106" s="61"/>
      <c r="K106" s="61"/>
      <c r="L106" s="61"/>
      <c r="M106" s="61"/>
      <c r="N106" s="61"/>
      <c r="O106" s="73"/>
      <c r="P106" s="73"/>
    </row>
    <row r="107" spans="3:16" s="19" customFormat="1" ht="13.5" thickBot="1">
      <c r="C107" s="19" t="s">
        <v>30</v>
      </c>
      <c r="J107" s="354"/>
      <c r="K107" s="354"/>
      <c r="L107" s="61"/>
      <c r="M107" s="61"/>
      <c r="N107" s="61"/>
      <c r="O107" s="73"/>
      <c r="P107" s="302">
        <v>27078</v>
      </c>
    </row>
    <row r="108" spans="10:16" s="19" customFormat="1" ht="12.75">
      <c r="J108" s="80"/>
      <c r="K108" s="80"/>
      <c r="L108" s="80"/>
      <c r="P108" s="20"/>
    </row>
    <row r="109" s="19" customFormat="1" ht="12.75"/>
    <row r="110" s="19" customFormat="1" ht="12.75">
      <c r="C110" s="18" t="s">
        <v>154</v>
      </c>
    </row>
    <row r="111" spans="3:16" s="19" customFormat="1" ht="12.75">
      <c r="C111" s="19" t="s">
        <v>29</v>
      </c>
      <c r="J111" s="354"/>
      <c r="K111" s="354"/>
      <c r="L111" s="61"/>
      <c r="M111" s="61"/>
      <c r="N111" s="61"/>
      <c r="O111" s="101"/>
      <c r="P111" s="101">
        <v>16194</v>
      </c>
    </row>
    <row r="112" spans="3:16" s="19" customFormat="1" ht="12.75">
      <c r="C112" s="356" t="s">
        <v>151</v>
      </c>
      <c r="D112" s="356"/>
      <c r="E112" s="356"/>
      <c r="F112" s="356"/>
      <c r="G112" s="356"/>
      <c r="H112" s="356"/>
      <c r="J112" s="354"/>
      <c r="K112" s="354"/>
      <c r="L112" s="61"/>
      <c r="M112" s="61"/>
      <c r="N112" s="61"/>
      <c r="O112" s="101"/>
      <c r="P112" s="101">
        <v>-14179</v>
      </c>
    </row>
    <row r="113" spans="3:16" s="19" customFormat="1" ht="13.5" thickBot="1">
      <c r="C113" s="19" t="s">
        <v>97</v>
      </c>
      <c r="J113" s="355"/>
      <c r="K113" s="355"/>
      <c r="L113" s="61"/>
      <c r="M113" s="61"/>
      <c r="N113" s="61"/>
      <c r="O113" s="73"/>
      <c r="P113" s="301">
        <f>SUM(P111:P112)</f>
        <v>2015</v>
      </c>
    </row>
    <row r="114" spans="3:16" s="19" customFormat="1" ht="12.75">
      <c r="C114" s="80"/>
      <c r="D114" s="80"/>
      <c r="E114" s="80"/>
      <c r="F114" s="80"/>
      <c r="G114" s="80"/>
      <c r="H114" s="80"/>
      <c r="I114" s="80"/>
      <c r="J114" s="61"/>
      <c r="K114" s="61"/>
      <c r="L114" s="61"/>
      <c r="M114" s="61"/>
      <c r="N114" s="61"/>
      <c r="O114" s="73"/>
      <c r="P114" s="73"/>
    </row>
    <row r="115" spans="3:16" s="19" customFormat="1" ht="13.5" thickBot="1">
      <c r="C115" s="19" t="s">
        <v>30</v>
      </c>
      <c r="J115" s="354"/>
      <c r="K115" s="354"/>
      <c r="L115" s="61"/>
      <c r="M115" s="61"/>
      <c r="N115" s="61"/>
      <c r="O115" s="73"/>
      <c r="P115" s="302">
        <v>2368</v>
      </c>
    </row>
    <row r="116" spans="10:16" s="19" customFormat="1" ht="12.75">
      <c r="J116" s="61"/>
      <c r="K116" s="61"/>
      <c r="L116" s="61"/>
      <c r="M116" s="61"/>
      <c r="N116" s="61"/>
      <c r="O116" s="73"/>
      <c r="P116" s="73"/>
    </row>
    <row r="117" spans="3:16" s="19" customFormat="1" ht="12.75">
      <c r="C117" s="303" t="s">
        <v>163</v>
      </c>
      <c r="D117" s="304" t="s">
        <v>164</v>
      </c>
      <c r="J117" s="61"/>
      <c r="K117" s="61"/>
      <c r="L117" s="61"/>
      <c r="M117" s="61"/>
      <c r="N117" s="61"/>
      <c r="O117" s="73"/>
      <c r="P117" s="73"/>
    </row>
    <row r="118" spans="3:16" s="19" customFormat="1" ht="12.75">
      <c r="C118" s="62"/>
      <c r="D118" s="62"/>
      <c r="E118" s="62"/>
      <c r="F118" s="62"/>
      <c r="G118" s="62"/>
      <c r="H118" s="62"/>
      <c r="I118" s="62"/>
      <c r="J118" s="62"/>
      <c r="K118" s="62"/>
      <c r="L118" s="62"/>
      <c r="M118" s="62"/>
      <c r="N118" s="62"/>
      <c r="O118" s="62"/>
      <c r="P118" s="62"/>
    </row>
    <row r="119" spans="3:16" s="19" customFormat="1" ht="14.25" customHeight="1">
      <c r="C119" s="62"/>
      <c r="D119" s="62"/>
      <c r="E119" s="62"/>
      <c r="F119" s="62"/>
      <c r="G119" s="62"/>
      <c r="H119" s="62"/>
      <c r="I119" s="62"/>
      <c r="J119" s="62"/>
      <c r="K119" s="62"/>
      <c r="L119" s="62"/>
      <c r="M119" s="62"/>
      <c r="N119" s="62"/>
      <c r="O119" s="62"/>
      <c r="P119" s="62"/>
    </row>
    <row r="120" spans="1:7" s="19" customFormat="1" ht="12.75">
      <c r="A120" s="18" t="s">
        <v>31</v>
      </c>
      <c r="B120" s="18"/>
      <c r="C120" s="18" t="s">
        <v>34</v>
      </c>
      <c r="D120" s="18"/>
      <c r="E120" s="18"/>
      <c r="F120" s="18"/>
      <c r="G120" s="18"/>
    </row>
    <row r="121" s="19" customFormat="1" ht="12.75"/>
    <row r="122" spans="3:16" s="19" customFormat="1" ht="27.75" customHeight="1">
      <c r="C122" s="376" t="s">
        <v>361</v>
      </c>
      <c r="D122" s="376"/>
      <c r="E122" s="376"/>
      <c r="F122" s="376"/>
      <c r="G122" s="376"/>
      <c r="H122" s="376"/>
      <c r="I122" s="376"/>
      <c r="J122" s="376"/>
      <c r="K122" s="376"/>
      <c r="L122" s="376"/>
      <c r="M122" s="376"/>
      <c r="N122" s="376"/>
      <c r="O122" s="376"/>
      <c r="P122" s="376"/>
    </row>
    <row r="123" spans="3:16" s="19" customFormat="1" ht="9" customHeight="1">
      <c r="C123" s="62"/>
      <c r="D123" s="62"/>
      <c r="E123" s="62"/>
      <c r="F123" s="62"/>
      <c r="G123" s="62"/>
      <c r="H123" s="62"/>
      <c r="I123" s="62"/>
      <c r="J123" s="62"/>
      <c r="K123" s="62"/>
      <c r="L123" s="62"/>
      <c r="M123" s="62"/>
      <c r="N123" s="62"/>
      <c r="O123" s="62"/>
      <c r="P123" s="62"/>
    </row>
    <row r="124" spans="2:18" s="19" customFormat="1" ht="56.25" customHeight="1">
      <c r="B124" s="136"/>
      <c r="C124" s="360" t="s">
        <v>351</v>
      </c>
      <c r="D124" s="335"/>
      <c r="E124" s="335"/>
      <c r="F124" s="315"/>
      <c r="G124" s="336" t="s">
        <v>383</v>
      </c>
      <c r="H124" s="336"/>
      <c r="I124" s="336"/>
      <c r="J124" s="336"/>
      <c r="K124" s="336"/>
      <c r="L124" s="336"/>
      <c r="M124" s="336"/>
      <c r="N124" s="336"/>
      <c r="O124" s="336"/>
      <c r="P124" s="336"/>
      <c r="Q124" s="326"/>
      <c r="R124" s="327"/>
    </row>
    <row r="125" spans="3:18" s="19" customFormat="1" ht="15" customHeight="1">
      <c r="C125" s="337" t="s">
        <v>352</v>
      </c>
      <c r="D125" s="337"/>
      <c r="E125" s="337"/>
      <c r="F125" s="319"/>
      <c r="G125" s="338" t="s">
        <v>354</v>
      </c>
      <c r="H125" s="338"/>
      <c r="I125" s="338"/>
      <c r="J125" s="338"/>
      <c r="K125" s="338"/>
      <c r="L125" s="338"/>
      <c r="M125" s="338"/>
      <c r="N125" s="338"/>
      <c r="O125" s="338"/>
      <c r="P125" s="338"/>
      <c r="Q125" s="328"/>
      <c r="R125" s="329"/>
    </row>
    <row r="126" spans="3:18" s="19" customFormat="1" ht="21" customHeight="1">
      <c r="C126" s="317"/>
      <c r="D126" s="314"/>
      <c r="E126" s="318"/>
      <c r="F126" s="322"/>
      <c r="G126" s="351" t="s">
        <v>355</v>
      </c>
      <c r="H126" s="351"/>
      <c r="I126" s="351"/>
      <c r="J126" s="351"/>
      <c r="K126" s="351"/>
      <c r="L126" s="351"/>
      <c r="M126" s="351"/>
      <c r="N126" s="351"/>
      <c r="O126" s="351"/>
      <c r="P126" s="351"/>
      <c r="Q126" s="323"/>
      <c r="R126" s="324"/>
    </row>
    <row r="127" spans="3:18" s="19" customFormat="1" ht="12.75">
      <c r="C127" s="348" t="s">
        <v>353</v>
      </c>
      <c r="D127" s="349"/>
      <c r="E127" s="350"/>
      <c r="F127" s="316"/>
      <c r="G127" s="320" t="s">
        <v>98</v>
      </c>
      <c r="H127" s="349" t="s">
        <v>356</v>
      </c>
      <c r="I127" s="349"/>
      <c r="J127" s="349"/>
      <c r="K127" s="349"/>
      <c r="L127" s="349"/>
      <c r="M127" s="349"/>
      <c r="N127" s="349"/>
      <c r="O127" s="349"/>
      <c r="P127" s="349"/>
      <c r="Q127" s="80"/>
      <c r="R127" s="321"/>
    </row>
    <row r="128" spans="3:18" s="19" customFormat="1" ht="12.75">
      <c r="C128" s="316"/>
      <c r="D128" s="80"/>
      <c r="E128" s="321"/>
      <c r="F128" s="316"/>
      <c r="G128" s="80" t="s">
        <v>99</v>
      </c>
      <c r="H128" s="80" t="s">
        <v>357</v>
      </c>
      <c r="I128" s="80"/>
      <c r="J128" s="80"/>
      <c r="K128" s="80"/>
      <c r="L128" s="80"/>
      <c r="M128" s="80"/>
      <c r="N128" s="80"/>
      <c r="O128" s="80"/>
      <c r="P128" s="80"/>
      <c r="Q128" s="80"/>
      <c r="R128" s="321"/>
    </row>
    <row r="129" spans="3:18" s="19" customFormat="1" ht="40.5" customHeight="1">
      <c r="C129" s="316"/>
      <c r="D129" s="80"/>
      <c r="E129" s="321"/>
      <c r="F129" s="316"/>
      <c r="G129" s="320" t="s">
        <v>304</v>
      </c>
      <c r="H129" s="352" t="s">
        <v>358</v>
      </c>
      <c r="I129" s="352"/>
      <c r="J129" s="352"/>
      <c r="K129" s="352"/>
      <c r="L129" s="352"/>
      <c r="M129" s="352"/>
      <c r="N129" s="352"/>
      <c r="O129" s="352"/>
      <c r="P129" s="352"/>
      <c r="Q129" s="80"/>
      <c r="R129" s="321"/>
    </row>
    <row r="130" spans="3:18" s="19" customFormat="1" ht="36" customHeight="1">
      <c r="C130" s="322"/>
      <c r="D130" s="323"/>
      <c r="E130" s="324"/>
      <c r="F130" s="322"/>
      <c r="G130" s="325" t="s">
        <v>359</v>
      </c>
      <c r="H130" s="347" t="s">
        <v>360</v>
      </c>
      <c r="I130" s="347"/>
      <c r="J130" s="347"/>
      <c r="K130" s="347"/>
      <c r="L130" s="347"/>
      <c r="M130" s="347"/>
      <c r="N130" s="347"/>
      <c r="O130" s="347"/>
      <c r="P130" s="347"/>
      <c r="Q130" s="323"/>
      <c r="R130" s="324"/>
    </row>
    <row r="131" s="19" customFormat="1" ht="12.75"/>
    <row r="132" spans="3:16" s="19" customFormat="1" ht="12.75">
      <c r="C132" s="62"/>
      <c r="D132" s="62"/>
      <c r="E132" s="62"/>
      <c r="F132" s="62"/>
      <c r="G132" s="62"/>
      <c r="H132" s="62"/>
      <c r="I132" s="62"/>
      <c r="J132" s="62"/>
      <c r="K132" s="62"/>
      <c r="L132" s="62"/>
      <c r="M132" s="62"/>
      <c r="N132" s="62"/>
      <c r="O132" s="62"/>
      <c r="P132" s="62"/>
    </row>
    <row r="133" spans="1:4" s="19" customFormat="1" ht="12.75">
      <c r="A133" s="18" t="s">
        <v>33</v>
      </c>
      <c r="C133" s="18" t="s">
        <v>39</v>
      </c>
      <c r="D133" s="18"/>
    </row>
    <row r="134" spans="1:4" s="19" customFormat="1" ht="10.5" customHeight="1">
      <c r="A134" s="18"/>
      <c r="C134" s="18"/>
      <c r="D134" s="18"/>
    </row>
    <row r="135" spans="1:3" s="19" customFormat="1" ht="12.75">
      <c r="A135" s="18"/>
      <c r="C135" s="19" t="str">
        <f>"Group borrowings and debt securities as at "&amp;TEXT(Sheet1!B9,"dd mmmm yyyy")&amp;" are as follows:"</f>
        <v>Group borrowings and debt securities as at 31 March 2003 are as follows:</v>
      </c>
    </row>
    <row r="136" spans="1:16" s="19" customFormat="1" ht="12.75">
      <c r="A136" s="18"/>
      <c r="P136" s="97" t="s">
        <v>7</v>
      </c>
    </row>
    <row r="137" spans="1:16" s="19" customFormat="1" ht="12.75">
      <c r="A137" s="18"/>
      <c r="P137" s="97"/>
    </row>
    <row r="138" spans="1:16" s="19" customFormat="1" ht="12.75">
      <c r="A138" s="18"/>
      <c r="C138" s="19" t="s">
        <v>27</v>
      </c>
      <c r="E138" s="18" t="s">
        <v>108</v>
      </c>
      <c r="P138" s="97"/>
    </row>
    <row r="139" spans="1:16" s="19" customFormat="1" ht="12.75">
      <c r="A139" s="18"/>
      <c r="E139" s="19" t="s">
        <v>40</v>
      </c>
      <c r="P139" s="97"/>
    </row>
    <row r="140" spans="1:16" s="19" customFormat="1" ht="12.75">
      <c r="A140" s="18"/>
      <c r="E140" s="305" t="s">
        <v>88</v>
      </c>
      <c r="P140" s="297">
        <v>10420</v>
      </c>
    </row>
    <row r="141" spans="5:16" s="19" customFormat="1" ht="12.75">
      <c r="E141" s="305" t="s">
        <v>338</v>
      </c>
      <c r="P141" s="296">
        <v>68</v>
      </c>
    </row>
    <row r="142" spans="1:16" s="19" customFormat="1" ht="12.75">
      <c r="A142" s="18"/>
      <c r="P142" s="306">
        <f>SUM(P140:P141)</f>
        <v>10488</v>
      </c>
    </row>
    <row r="143" spans="1:16" s="19" customFormat="1" ht="12.75">
      <c r="A143" s="18"/>
      <c r="E143" s="19" t="s">
        <v>41</v>
      </c>
      <c r="P143" s="97"/>
    </row>
    <row r="144" spans="1:16" s="19" customFormat="1" ht="12.75">
      <c r="A144" s="18"/>
      <c r="E144" s="305" t="s">
        <v>88</v>
      </c>
      <c r="P144" s="307">
        <v>3441</v>
      </c>
    </row>
    <row r="145" spans="1:16" s="19" customFormat="1" ht="12.75">
      <c r="A145" s="18"/>
      <c r="N145" s="168" t="s">
        <v>128</v>
      </c>
      <c r="P145" s="308">
        <f>SUM(P142:P144)</f>
        <v>13929</v>
      </c>
    </row>
    <row r="146" spans="1:16" s="19" customFormat="1" ht="12.75">
      <c r="A146" s="18"/>
      <c r="P146" s="297"/>
    </row>
    <row r="147" spans="3:16" s="19" customFormat="1" ht="12.75">
      <c r="C147" s="19" t="s">
        <v>28</v>
      </c>
      <c r="E147" s="18" t="s">
        <v>109</v>
      </c>
      <c r="P147" s="101"/>
    </row>
    <row r="148" s="19" customFormat="1" ht="6" customHeight="1">
      <c r="P148" s="101"/>
    </row>
    <row r="149" spans="5:16" s="19" customFormat="1" ht="12.75">
      <c r="E149" s="19" t="s">
        <v>40</v>
      </c>
      <c r="P149" s="101" t="s">
        <v>90</v>
      </c>
    </row>
    <row r="150" spans="5:16" s="19" customFormat="1" ht="12.75">
      <c r="E150" s="305" t="s">
        <v>88</v>
      </c>
      <c r="P150" s="101">
        <f>174333-10420</f>
        <v>163913</v>
      </c>
    </row>
    <row r="151" spans="5:16" s="19" customFormat="1" ht="12.75">
      <c r="E151" s="305" t="s">
        <v>297</v>
      </c>
      <c r="P151" s="101">
        <v>905190</v>
      </c>
    </row>
    <row r="152" spans="5:16" s="19" customFormat="1" ht="12.75">
      <c r="E152" s="305" t="s">
        <v>384</v>
      </c>
      <c r="P152" s="101">
        <v>4431</v>
      </c>
    </row>
    <row r="153" spans="5:16" s="19" customFormat="1" ht="12.75">
      <c r="E153" s="305" t="s">
        <v>339</v>
      </c>
      <c r="P153" s="73">
        <v>20206</v>
      </c>
    </row>
    <row r="154" s="19" customFormat="1" ht="12.75">
      <c r="P154" s="295">
        <f>SUM(P150:P153)</f>
        <v>1093740</v>
      </c>
    </row>
    <row r="155" spans="5:16" s="19" customFormat="1" ht="12.75">
      <c r="E155" s="19" t="s">
        <v>41</v>
      </c>
      <c r="P155" s="101"/>
    </row>
    <row r="156" spans="5:16" s="19" customFormat="1" ht="12.75">
      <c r="E156" s="305" t="s">
        <v>88</v>
      </c>
      <c r="P156" s="73">
        <f>710298-3441</f>
        <v>706857</v>
      </c>
    </row>
    <row r="157" s="19" customFormat="1" ht="9" customHeight="1">
      <c r="P157" s="18"/>
    </row>
    <row r="158" spans="14:18" s="19" customFormat="1" ht="12.75">
      <c r="N158" s="168" t="s">
        <v>84</v>
      </c>
      <c r="O158" s="168"/>
      <c r="P158" s="309">
        <f>P154+P156</f>
        <v>1800597</v>
      </c>
      <c r="R158" s="310"/>
    </row>
    <row r="159" s="19" customFormat="1" ht="5.25" customHeight="1">
      <c r="P159" s="18"/>
    </row>
    <row r="160" spans="3:16" s="19" customFormat="1" ht="12.75">
      <c r="C160" s="19" t="s">
        <v>127</v>
      </c>
      <c r="E160" s="18" t="s">
        <v>116</v>
      </c>
      <c r="P160" s="18"/>
    </row>
    <row r="161" s="19" customFormat="1" ht="6" customHeight="1">
      <c r="P161" s="18"/>
    </row>
    <row r="162" spans="5:16" s="19" customFormat="1" ht="12.75">
      <c r="E162" s="19" t="s">
        <v>40</v>
      </c>
      <c r="P162" s="101"/>
    </row>
    <row r="163" spans="5:16" s="19" customFormat="1" ht="12.75">
      <c r="E163" s="305" t="s">
        <v>88</v>
      </c>
      <c r="P163" s="101">
        <v>439337</v>
      </c>
    </row>
    <row r="164" spans="5:16" s="19" customFormat="1" ht="12.75">
      <c r="E164" s="305" t="s">
        <v>89</v>
      </c>
      <c r="P164" s="296">
        <v>42992</v>
      </c>
    </row>
    <row r="165" s="19" customFormat="1" ht="12.75">
      <c r="P165" s="101">
        <f>SUM(P163:P164)</f>
        <v>482329</v>
      </c>
    </row>
    <row r="166" spans="5:16" s="19" customFormat="1" ht="12.75">
      <c r="E166" s="19" t="s">
        <v>41</v>
      </c>
      <c r="P166" s="101"/>
    </row>
    <row r="167" spans="5:16" s="19" customFormat="1" ht="12.75">
      <c r="E167" s="305" t="s">
        <v>88</v>
      </c>
      <c r="P167" s="101">
        <v>86647</v>
      </c>
    </row>
    <row r="168" spans="14:16" s="19" customFormat="1" ht="12.75">
      <c r="N168" s="168" t="s">
        <v>85</v>
      </c>
      <c r="O168" s="168"/>
      <c r="P168" s="309">
        <f>P165+P167</f>
        <v>568976</v>
      </c>
    </row>
    <row r="169" spans="5:16" s="80" customFormat="1" ht="14.25" customHeight="1">
      <c r="E169" s="311"/>
      <c r="P169" s="73"/>
    </row>
    <row r="170" spans="14:16" s="19" customFormat="1" ht="13.5" thickBot="1">
      <c r="N170" s="168" t="s">
        <v>86</v>
      </c>
      <c r="O170" s="168"/>
      <c r="P170" s="301">
        <f>P158+P168+P145</f>
        <v>2383502</v>
      </c>
    </row>
    <row r="171" s="19" customFormat="1" ht="12.75">
      <c r="P171" s="61"/>
    </row>
    <row r="172" s="19" customFormat="1" ht="12.75">
      <c r="P172" s="61"/>
    </row>
    <row r="173" spans="1:16" s="19" customFormat="1" ht="12.75">
      <c r="A173" s="18" t="s">
        <v>35</v>
      </c>
      <c r="B173" s="18"/>
      <c r="C173" s="18" t="s">
        <v>43</v>
      </c>
      <c r="D173" s="18"/>
      <c r="E173" s="18"/>
      <c r="P173" s="20"/>
    </row>
    <row r="174" s="19" customFormat="1" ht="12.75">
      <c r="P174" s="20"/>
    </row>
    <row r="175" spans="2:16" s="19" customFormat="1" ht="76.5" customHeight="1">
      <c r="B175" s="136" t="s">
        <v>27</v>
      </c>
      <c r="C175" s="376" t="s">
        <v>377</v>
      </c>
      <c r="D175" s="376"/>
      <c r="E175" s="376"/>
      <c r="F175" s="376"/>
      <c r="G175" s="376"/>
      <c r="H175" s="376"/>
      <c r="I175" s="376"/>
      <c r="J175" s="376"/>
      <c r="K175" s="376"/>
      <c r="L175" s="376"/>
      <c r="M175" s="376"/>
      <c r="N175" s="376"/>
      <c r="O175" s="376"/>
      <c r="P175" s="376"/>
    </row>
    <row r="176" s="19" customFormat="1" ht="12.75">
      <c r="P176" s="20"/>
    </row>
    <row r="177" spans="2:16" s="19" customFormat="1" ht="42" customHeight="1">
      <c r="B177" s="136"/>
      <c r="C177" s="376" t="s">
        <v>321</v>
      </c>
      <c r="D177" s="376"/>
      <c r="E177" s="376"/>
      <c r="F177" s="376"/>
      <c r="G177" s="376"/>
      <c r="H177" s="376"/>
      <c r="I177" s="376"/>
      <c r="J177" s="376"/>
      <c r="K177" s="376"/>
      <c r="L177" s="376"/>
      <c r="M177" s="376"/>
      <c r="N177" s="376"/>
      <c r="O177" s="376"/>
      <c r="P177" s="376"/>
    </row>
    <row r="178" spans="3:16" s="19" customFormat="1" ht="12.75">
      <c r="C178" s="141"/>
      <c r="D178" s="141"/>
      <c r="E178" s="141"/>
      <c r="F178" s="141"/>
      <c r="G178" s="141"/>
      <c r="H178" s="141"/>
      <c r="I178" s="141"/>
      <c r="J178" s="141"/>
      <c r="K178" s="141"/>
      <c r="L178" s="141"/>
      <c r="M178" s="330"/>
      <c r="N178" s="330"/>
      <c r="O178" s="80"/>
      <c r="P178" s="61"/>
    </row>
    <row r="179" spans="2:16" s="19" customFormat="1" ht="27" customHeight="1">
      <c r="B179" s="136"/>
      <c r="C179" s="376" t="s">
        <v>318</v>
      </c>
      <c r="D179" s="376"/>
      <c r="E179" s="376"/>
      <c r="F179" s="376"/>
      <c r="G179" s="376"/>
      <c r="H179" s="376"/>
      <c r="I179" s="376"/>
      <c r="J179" s="376"/>
      <c r="K179" s="376"/>
      <c r="L179" s="376"/>
      <c r="M179" s="376"/>
      <c r="N179" s="376"/>
      <c r="O179" s="376"/>
      <c r="P179" s="376"/>
    </row>
    <row r="180" spans="3:16" s="19" customFormat="1" ht="12.75">
      <c r="C180" s="59"/>
      <c r="D180" s="59"/>
      <c r="E180" s="59"/>
      <c r="F180" s="59"/>
      <c r="G180" s="59"/>
      <c r="H180" s="59"/>
      <c r="I180" s="59"/>
      <c r="J180" s="59"/>
      <c r="K180" s="59"/>
      <c r="L180" s="59"/>
      <c r="M180" s="59"/>
      <c r="N180" s="59"/>
      <c r="O180" s="59"/>
      <c r="P180" s="59"/>
    </row>
    <row r="181" spans="2:16" s="19" customFormat="1" ht="24" customHeight="1">
      <c r="B181" s="136" t="s">
        <v>28</v>
      </c>
      <c r="C181" s="372" t="s">
        <v>345</v>
      </c>
      <c r="D181" s="372"/>
      <c r="E181" s="372"/>
      <c r="F181" s="372"/>
      <c r="G181" s="372"/>
      <c r="H181" s="372"/>
      <c r="I181" s="372"/>
      <c r="J181" s="372"/>
      <c r="K181" s="372"/>
      <c r="L181" s="372"/>
      <c r="M181" s="372"/>
      <c r="N181" s="372"/>
      <c r="O181" s="372"/>
      <c r="P181" s="372"/>
    </row>
    <row r="182" spans="3:16" s="19" customFormat="1" ht="12.75">
      <c r="C182" s="59"/>
      <c r="D182" s="59"/>
      <c r="E182" s="59"/>
      <c r="F182" s="59"/>
      <c r="G182" s="59"/>
      <c r="H182" s="59"/>
      <c r="I182" s="59"/>
      <c r="J182" s="59"/>
      <c r="K182" s="59"/>
      <c r="L182" s="59"/>
      <c r="M182" s="59"/>
      <c r="N182" s="59"/>
      <c r="O182" s="59"/>
      <c r="P182" s="59"/>
    </row>
    <row r="183" spans="3:13" s="18" customFormat="1" ht="42.75" customHeight="1">
      <c r="C183" s="403" t="s">
        <v>229</v>
      </c>
      <c r="D183" s="404"/>
      <c r="E183" s="404"/>
      <c r="F183" s="405" t="s">
        <v>378</v>
      </c>
      <c r="G183" s="406"/>
      <c r="H183" s="407"/>
      <c r="I183" s="334" t="s">
        <v>230</v>
      </c>
      <c r="J183" s="408" t="s">
        <v>230</v>
      </c>
      <c r="K183" s="408"/>
      <c r="L183" s="409"/>
      <c r="M183" s="121"/>
    </row>
    <row r="184" spans="3:13" s="19" customFormat="1" ht="19.5" customHeight="1">
      <c r="C184" s="398" t="s">
        <v>319</v>
      </c>
      <c r="D184" s="399"/>
      <c r="E184" s="399"/>
      <c r="F184" s="331"/>
      <c r="G184" s="400">
        <v>45.6</v>
      </c>
      <c r="H184" s="400"/>
      <c r="I184" s="332"/>
      <c r="J184" s="401" t="s">
        <v>379</v>
      </c>
      <c r="K184" s="401"/>
      <c r="L184" s="402"/>
      <c r="M184" s="333"/>
    </row>
    <row r="185" spans="3:13" s="19" customFormat="1" ht="19.5" customHeight="1">
      <c r="C185" s="398" t="s">
        <v>320</v>
      </c>
      <c r="D185" s="399"/>
      <c r="E185" s="399"/>
      <c r="F185" s="331"/>
      <c r="G185" s="400">
        <v>48.8</v>
      </c>
      <c r="H185" s="400"/>
      <c r="I185" s="332"/>
      <c r="J185" s="401" t="s">
        <v>380</v>
      </c>
      <c r="K185" s="401"/>
      <c r="L185" s="402"/>
      <c r="M185" s="333"/>
    </row>
    <row r="186" spans="3:16" s="19" customFormat="1" ht="12.75">
      <c r="C186" s="59"/>
      <c r="D186" s="59"/>
      <c r="E186" s="59"/>
      <c r="F186" s="59"/>
      <c r="G186" s="59"/>
      <c r="H186" s="59"/>
      <c r="I186" s="59"/>
      <c r="J186" s="59"/>
      <c r="K186" s="59"/>
      <c r="L186" s="59"/>
      <c r="M186" s="59"/>
      <c r="N186" s="59"/>
      <c r="O186" s="59"/>
      <c r="P186" s="59"/>
    </row>
    <row r="187" spans="3:16" s="19" customFormat="1" ht="26.25" customHeight="1">
      <c r="C187" s="372" t="s">
        <v>323</v>
      </c>
      <c r="D187" s="372"/>
      <c r="E187" s="372"/>
      <c r="F187" s="372"/>
      <c r="G187" s="372"/>
      <c r="H187" s="372"/>
      <c r="I187" s="372"/>
      <c r="J187" s="372"/>
      <c r="K187" s="372"/>
      <c r="L187" s="372"/>
      <c r="M187" s="372"/>
      <c r="N187" s="372"/>
      <c r="O187" s="372"/>
      <c r="P187" s="372"/>
    </row>
    <row r="188" spans="3:16" s="19" customFormat="1" ht="12.75">
      <c r="C188" s="59"/>
      <c r="D188" s="59"/>
      <c r="E188" s="59"/>
      <c r="F188" s="59"/>
      <c r="G188" s="59"/>
      <c r="H188" s="59"/>
      <c r="I188" s="59"/>
      <c r="J188" s="59"/>
      <c r="K188" s="59"/>
      <c r="L188" s="59"/>
      <c r="M188" s="59"/>
      <c r="N188" s="59"/>
      <c r="O188" s="59"/>
      <c r="P188" s="59"/>
    </row>
    <row r="189" spans="3:16" s="19" customFormat="1" ht="50.25" customHeight="1">
      <c r="C189" s="372" t="s">
        <v>322</v>
      </c>
      <c r="D189" s="372"/>
      <c r="E189" s="372"/>
      <c r="F189" s="372"/>
      <c r="G189" s="372"/>
      <c r="H189" s="372"/>
      <c r="I189" s="372"/>
      <c r="J189" s="372"/>
      <c r="K189" s="372"/>
      <c r="L189" s="372"/>
      <c r="M189" s="372"/>
      <c r="N189" s="372"/>
      <c r="O189" s="372"/>
      <c r="P189" s="372"/>
    </row>
    <row r="190" spans="3:16" s="19" customFormat="1" ht="12.75">
      <c r="C190" s="59"/>
      <c r="D190" s="59"/>
      <c r="E190" s="59"/>
      <c r="F190" s="59"/>
      <c r="G190" s="59"/>
      <c r="H190" s="59"/>
      <c r="I190" s="59"/>
      <c r="J190" s="59"/>
      <c r="K190" s="59"/>
      <c r="L190" s="59"/>
      <c r="M190" s="59"/>
      <c r="N190" s="59"/>
      <c r="O190" s="59"/>
      <c r="P190" s="59"/>
    </row>
    <row r="191" spans="3:16" s="19" customFormat="1" ht="12.75">
      <c r="C191" s="59"/>
      <c r="D191" s="59"/>
      <c r="E191" s="59"/>
      <c r="F191" s="59"/>
      <c r="G191" s="59"/>
      <c r="H191" s="59"/>
      <c r="I191" s="59"/>
      <c r="J191" s="59"/>
      <c r="K191" s="59"/>
      <c r="L191" s="59"/>
      <c r="M191" s="59"/>
      <c r="N191" s="59"/>
      <c r="O191" s="59"/>
      <c r="P191" s="59"/>
    </row>
    <row r="192" spans="1:16" s="19" customFormat="1" ht="12.75">
      <c r="A192" s="18" t="s">
        <v>37</v>
      </c>
      <c r="B192" s="18"/>
      <c r="C192" s="18" t="s">
        <v>44</v>
      </c>
      <c r="D192" s="18"/>
      <c r="E192" s="18"/>
      <c r="P192" s="20"/>
    </row>
    <row r="193" s="19" customFormat="1" ht="12.75">
      <c r="P193" s="20"/>
    </row>
    <row r="194" spans="1:16" s="19" customFormat="1" ht="12.75">
      <c r="A194" s="97" t="s">
        <v>98</v>
      </c>
      <c r="B194" s="18"/>
      <c r="C194" s="18" t="s">
        <v>301</v>
      </c>
      <c r="D194" s="18"/>
      <c r="P194" s="20"/>
    </row>
    <row r="195" s="19" customFormat="1" ht="12.75">
      <c r="P195" s="20"/>
    </row>
    <row r="196" spans="3:16" s="19" customFormat="1" ht="56.25" customHeight="1">
      <c r="C196" s="372" t="s">
        <v>126</v>
      </c>
      <c r="D196" s="372"/>
      <c r="E196" s="372"/>
      <c r="F196" s="372"/>
      <c r="G196" s="372"/>
      <c r="H196" s="372"/>
      <c r="I196" s="372"/>
      <c r="J196" s="372"/>
      <c r="K196" s="372"/>
      <c r="L196" s="372"/>
      <c r="M196" s="372"/>
      <c r="N196" s="372"/>
      <c r="O196" s="372"/>
      <c r="P196" s="372"/>
    </row>
    <row r="197" spans="3:16" s="19" customFormat="1" ht="12.75">
      <c r="C197" s="59"/>
      <c r="D197" s="59"/>
      <c r="E197" s="59"/>
      <c r="F197" s="59"/>
      <c r="G197" s="59"/>
      <c r="H197" s="59"/>
      <c r="I197" s="59"/>
      <c r="J197" s="59"/>
      <c r="K197" s="59"/>
      <c r="L197" s="59"/>
      <c r="M197" s="59"/>
      <c r="N197" s="59"/>
      <c r="O197" s="59"/>
      <c r="P197" s="59"/>
    </row>
    <row r="198" spans="3:16" s="19" customFormat="1" ht="98.25" customHeight="1">
      <c r="C198" s="372" t="s">
        <v>156</v>
      </c>
      <c r="D198" s="372"/>
      <c r="E198" s="372"/>
      <c r="F198" s="372"/>
      <c r="G198" s="372"/>
      <c r="H198" s="372"/>
      <c r="I198" s="372"/>
      <c r="J198" s="372"/>
      <c r="K198" s="372"/>
      <c r="L198" s="372"/>
      <c r="M198" s="372"/>
      <c r="N198" s="372"/>
      <c r="O198" s="372"/>
      <c r="P198" s="372"/>
    </row>
    <row r="199" spans="3:16" s="19" customFormat="1" ht="12.75">
      <c r="C199" s="59"/>
      <c r="D199" s="59"/>
      <c r="E199" s="59"/>
      <c r="F199" s="59"/>
      <c r="G199" s="59"/>
      <c r="H199" s="59"/>
      <c r="I199" s="59"/>
      <c r="J199" s="59"/>
      <c r="K199" s="59"/>
      <c r="L199" s="59"/>
      <c r="M199" s="59"/>
      <c r="N199" s="59"/>
      <c r="O199" s="59"/>
      <c r="P199" s="59"/>
    </row>
    <row r="200" spans="1:16" s="19" customFormat="1" ht="12.75">
      <c r="A200" s="97" t="s">
        <v>99</v>
      </c>
      <c r="B200" s="18"/>
      <c r="C200" s="18" t="s">
        <v>302</v>
      </c>
      <c r="D200" s="18"/>
      <c r="P200" s="20"/>
    </row>
    <row r="201" s="19" customFormat="1" ht="12.75">
      <c r="P201" s="20"/>
    </row>
    <row r="202" spans="3:16" s="19" customFormat="1" ht="50.25" customHeight="1">
      <c r="C202" s="372" t="s">
        <v>2</v>
      </c>
      <c r="D202" s="372"/>
      <c r="E202" s="372"/>
      <c r="F202" s="372"/>
      <c r="G202" s="372"/>
      <c r="H202" s="372"/>
      <c r="I202" s="372"/>
      <c r="J202" s="372"/>
      <c r="K202" s="372"/>
      <c r="L202" s="372"/>
      <c r="M202" s="372"/>
      <c r="N202" s="372"/>
      <c r="O202" s="372"/>
      <c r="P202" s="372"/>
    </row>
    <row r="203" spans="3:16" s="19" customFormat="1" ht="6.75" customHeight="1">
      <c r="C203" s="59"/>
      <c r="D203" s="59"/>
      <c r="E203" s="59"/>
      <c r="F203" s="59"/>
      <c r="G203" s="59"/>
      <c r="H203" s="59"/>
      <c r="I203" s="59"/>
      <c r="J203" s="59"/>
      <c r="K203" s="59"/>
      <c r="L203" s="59"/>
      <c r="M203" s="59"/>
      <c r="N203" s="59"/>
      <c r="O203" s="59"/>
      <c r="P203" s="59"/>
    </row>
    <row r="204" spans="3:16" s="19" customFormat="1" ht="12.75">
      <c r="C204" s="59" t="s">
        <v>27</v>
      </c>
      <c r="D204" s="376" t="s">
        <v>0</v>
      </c>
      <c r="E204" s="376"/>
      <c r="F204" s="376"/>
      <c r="G204" s="376"/>
      <c r="H204" s="376"/>
      <c r="I204" s="376"/>
      <c r="J204" s="376"/>
      <c r="K204" s="376"/>
      <c r="L204" s="376"/>
      <c r="M204" s="376"/>
      <c r="N204" s="376"/>
      <c r="O204" s="376"/>
      <c r="P204" s="376"/>
    </row>
    <row r="205" spans="3:16" s="19" customFormat="1" ht="12.75">
      <c r="C205" s="59" t="s">
        <v>28</v>
      </c>
      <c r="D205" s="376" t="s">
        <v>1</v>
      </c>
      <c r="E205" s="376"/>
      <c r="F205" s="376"/>
      <c r="G205" s="376"/>
      <c r="H205" s="376"/>
      <c r="I205" s="376"/>
      <c r="J205" s="376"/>
      <c r="K205" s="376"/>
      <c r="L205" s="376"/>
      <c r="M205" s="376"/>
      <c r="N205" s="376"/>
      <c r="O205" s="376"/>
      <c r="P205" s="376"/>
    </row>
    <row r="206" spans="3:16" s="19" customFormat="1" ht="25.5" customHeight="1">
      <c r="C206" s="59" t="s">
        <v>127</v>
      </c>
      <c r="D206" s="376" t="s">
        <v>369</v>
      </c>
      <c r="E206" s="376"/>
      <c r="F206" s="376"/>
      <c r="G206" s="376"/>
      <c r="H206" s="376"/>
      <c r="I206" s="376"/>
      <c r="J206" s="376"/>
      <c r="K206" s="376"/>
      <c r="L206" s="376"/>
      <c r="M206" s="376"/>
      <c r="N206" s="376"/>
      <c r="O206" s="376"/>
      <c r="P206" s="376"/>
    </row>
    <row r="207" spans="3:16" s="19" customFormat="1" ht="11.25" customHeight="1">
      <c r="C207" s="59"/>
      <c r="D207" s="59"/>
      <c r="E207" s="59"/>
      <c r="F207" s="59"/>
      <c r="G207" s="59"/>
      <c r="H207" s="59"/>
      <c r="I207" s="59"/>
      <c r="J207" s="59"/>
      <c r="K207" s="59"/>
      <c r="L207" s="59"/>
      <c r="M207" s="59"/>
      <c r="N207" s="59"/>
      <c r="O207" s="59"/>
      <c r="P207" s="59"/>
    </row>
    <row r="208" spans="3:16" s="19" customFormat="1" ht="36" customHeight="1">
      <c r="C208" s="372" t="s">
        <v>303</v>
      </c>
      <c r="D208" s="372"/>
      <c r="E208" s="372"/>
      <c r="F208" s="372"/>
      <c r="G208" s="372"/>
      <c r="H208" s="372"/>
      <c r="I208" s="372"/>
      <c r="J208" s="372"/>
      <c r="K208" s="372"/>
      <c r="L208" s="372"/>
      <c r="M208" s="372"/>
      <c r="N208" s="372"/>
      <c r="O208" s="372"/>
      <c r="P208" s="372"/>
    </row>
    <row r="209" spans="3:16" s="19" customFormat="1" ht="12.75">
      <c r="C209" s="59"/>
      <c r="D209" s="59"/>
      <c r="E209" s="59"/>
      <c r="F209" s="59"/>
      <c r="G209" s="59"/>
      <c r="H209" s="59"/>
      <c r="I209" s="59"/>
      <c r="J209" s="59"/>
      <c r="K209" s="59"/>
      <c r="L209" s="59"/>
      <c r="M209" s="59"/>
      <c r="N209" s="59"/>
      <c r="O209" s="59"/>
      <c r="P209" s="59"/>
    </row>
    <row r="210" spans="1:16" s="19" customFormat="1" ht="12.75">
      <c r="A210" s="97" t="s">
        <v>304</v>
      </c>
      <c r="B210" s="18"/>
      <c r="C210" s="18" t="s">
        <v>305</v>
      </c>
      <c r="D210" s="18"/>
      <c r="F210" s="59"/>
      <c r="G210" s="59"/>
      <c r="H210" s="59"/>
      <c r="I210" s="59"/>
      <c r="J210" s="59"/>
      <c r="K210" s="59"/>
      <c r="L210" s="59"/>
      <c r="M210" s="59"/>
      <c r="N210" s="59"/>
      <c r="O210" s="59"/>
      <c r="P210" s="59"/>
    </row>
    <row r="211" spans="3:16" s="19" customFormat="1" ht="12.75">
      <c r="C211" s="59"/>
      <c r="D211" s="59"/>
      <c r="E211" s="59"/>
      <c r="F211" s="59"/>
      <c r="G211" s="59"/>
      <c r="H211" s="59"/>
      <c r="I211" s="59"/>
      <c r="J211" s="59"/>
      <c r="K211" s="59"/>
      <c r="L211" s="59"/>
      <c r="M211" s="59"/>
      <c r="N211" s="59"/>
      <c r="O211" s="59"/>
      <c r="P211" s="59"/>
    </row>
    <row r="212" spans="3:16" s="19" customFormat="1" ht="138.75" customHeight="1">
      <c r="C212" s="372" t="s">
        <v>374</v>
      </c>
      <c r="D212" s="372"/>
      <c r="E212" s="372"/>
      <c r="F212" s="372"/>
      <c r="G212" s="372"/>
      <c r="H212" s="372"/>
      <c r="I212" s="372"/>
      <c r="J212" s="372"/>
      <c r="K212" s="372"/>
      <c r="L212" s="372"/>
      <c r="M212" s="372"/>
      <c r="N212" s="372"/>
      <c r="O212" s="372"/>
      <c r="P212" s="372"/>
    </row>
    <row r="213" spans="3:16" s="19" customFormat="1" ht="12.75">
      <c r="C213" s="59"/>
      <c r="D213" s="59"/>
      <c r="E213" s="59"/>
      <c r="F213" s="59"/>
      <c r="G213" s="59"/>
      <c r="H213" s="59"/>
      <c r="I213" s="59"/>
      <c r="J213" s="59"/>
      <c r="K213" s="59"/>
      <c r="L213" s="59"/>
      <c r="M213" s="59"/>
      <c r="N213" s="59"/>
      <c r="O213" s="59"/>
      <c r="P213" s="59"/>
    </row>
    <row r="214" spans="3:16" s="19" customFormat="1" ht="12.75">
      <c r="C214" s="59"/>
      <c r="D214" s="59"/>
      <c r="E214" s="59"/>
      <c r="F214" s="59"/>
      <c r="G214" s="59"/>
      <c r="H214" s="59"/>
      <c r="I214" s="59"/>
      <c r="J214" s="59"/>
      <c r="K214" s="59"/>
      <c r="L214" s="59"/>
      <c r="M214" s="59"/>
      <c r="N214" s="59"/>
      <c r="O214" s="59"/>
      <c r="P214" s="59"/>
    </row>
    <row r="215" spans="1:5" s="19" customFormat="1" ht="12.75">
      <c r="A215" s="18" t="s">
        <v>38</v>
      </c>
      <c r="B215" s="18"/>
      <c r="C215" s="18" t="s">
        <v>49</v>
      </c>
      <c r="D215" s="18"/>
      <c r="E215" s="18"/>
    </row>
    <row r="216" s="19" customFormat="1" ht="12.75"/>
    <row r="217" spans="3:16" s="19" customFormat="1" ht="44.25" customHeight="1">
      <c r="C217" s="372" t="s">
        <v>333</v>
      </c>
      <c r="D217" s="372"/>
      <c r="E217" s="372"/>
      <c r="F217" s="372"/>
      <c r="G217" s="372"/>
      <c r="H217" s="372"/>
      <c r="I217" s="372"/>
      <c r="J217" s="372"/>
      <c r="K217" s="372"/>
      <c r="L217" s="372"/>
      <c r="M217" s="372"/>
      <c r="N217" s="372"/>
      <c r="O217" s="372"/>
      <c r="P217" s="372"/>
    </row>
    <row r="218" spans="3:16" s="19" customFormat="1" ht="12.75">
      <c r="C218" s="59"/>
      <c r="D218" s="59"/>
      <c r="E218" s="59"/>
      <c r="F218" s="59"/>
      <c r="G218" s="59"/>
      <c r="H218" s="59"/>
      <c r="I218" s="59"/>
      <c r="J218" s="59"/>
      <c r="K218" s="59"/>
      <c r="L218" s="59"/>
      <c r="M218" s="59"/>
      <c r="N218" s="59"/>
      <c r="O218" s="59"/>
      <c r="P218" s="59"/>
    </row>
    <row r="219" spans="3:16" s="19" customFormat="1" ht="28.5" customHeight="1">
      <c r="C219" s="372" t="s">
        <v>363</v>
      </c>
      <c r="D219" s="372"/>
      <c r="E219" s="372"/>
      <c r="F219" s="372"/>
      <c r="G219" s="372"/>
      <c r="H219" s="372"/>
      <c r="I219" s="372"/>
      <c r="J219" s="372"/>
      <c r="K219" s="372"/>
      <c r="L219" s="372"/>
      <c r="M219" s="372"/>
      <c r="N219" s="372"/>
      <c r="O219" s="372"/>
      <c r="P219" s="372"/>
    </row>
    <row r="220" spans="3:16" s="19" customFormat="1" ht="12.75">
      <c r="C220" s="59"/>
      <c r="D220" s="59"/>
      <c r="E220" s="59"/>
      <c r="F220" s="59"/>
      <c r="G220" s="59"/>
      <c r="H220" s="59"/>
      <c r="I220" s="59"/>
      <c r="J220" s="59"/>
      <c r="K220" s="59"/>
      <c r="L220" s="59"/>
      <c r="M220" s="59"/>
      <c r="N220" s="59"/>
      <c r="O220" s="59"/>
      <c r="P220" s="59"/>
    </row>
    <row r="221" spans="3:16" s="19" customFormat="1" ht="12.75">
      <c r="C221" s="372" t="s">
        <v>334</v>
      </c>
      <c r="D221" s="372"/>
      <c r="E221" s="372"/>
      <c r="F221" s="372"/>
      <c r="G221" s="372"/>
      <c r="H221" s="372"/>
      <c r="I221" s="372"/>
      <c r="J221" s="372"/>
      <c r="K221" s="372"/>
      <c r="L221" s="372"/>
      <c r="M221" s="372"/>
      <c r="N221" s="372"/>
      <c r="O221" s="372"/>
      <c r="P221" s="372"/>
    </row>
    <row r="222" spans="3:16" s="19" customFormat="1" ht="12.75">
      <c r="C222" s="59"/>
      <c r="D222" s="59"/>
      <c r="E222" s="59"/>
      <c r="F222" s="59"/>
      <c r="G222" s="59"/>
      <c r="H222" s="59"/>
      <c r="I222" s="59"/>
      <c r="J222" s="59"/>
      <c r="K222" s="59"/>
      <c r="L222" s="59"/>
      <c r="M222" s="59"/>
      <c r="N222" s="59"/>
      <c r="O222" s="59"/>
      <c r="P222" s="59"/>
    </row>
    <row r="223" spans="3:16" s="19" customFormat="1" ht="12.75">
      <c r="C223" s="59"/>
      <c r="D223" s="59"/>
      <c r="E223" s="59"/>
      <c r="F223" s="59"/>
      <c r="G223" s="59"/>
      <c r="H223" s="59"/>
      <c r="I223" s="59"/>
      <c r="J223" s="59"/>
      <c r="K223" s="59"/>
      <c r="L223" s="59"/>
      <c r="M223" s="59"/>
      <c r="N223" s="59"/>
      <c r="O223" s="59"/>
      <c r="P223" s="59"/>
    </row>
    <row r="224" spans="1:16" s="19" customFormat="1" ht="12.75">
      <c r="A224" s="18" t="s">
        <v>205</v>
      </c>
      <c r="C224" s="18" t="s">
        <v>268</v>
      </c>
      <c r="D224" s="59"/>
      <c r="E224" s="59"/>
      <c r="F224" s="59"/>
      <c r="G224" s="59"/>
      <c r="H224" s="59"/>
      <c r="I224" s="59"/>
      <c r="J224" s="59"/>
      <c r="K224" s="59"/>
      <c r="L224" s="59"/>
      <c r="M224" s="59"/>
      <c r="N224" s="59"/>
      <c r="O224" s="59"/>
      <c r="P224" s="59"/>
    </row>
    <row r="225" spans="3:16" s="19" customFormat="1" ht="12.75">
      <c r="C225" s="59"/>
      <c r="D225" s="59"/>
      <c r="E225" s="59"/>
      <c r="F225" s="59"/>
      <c r="G225" s="59"/>
      <c r="H225" s="59"/>
      <c r="I225" s="59"/>
      <c r="J225" s="59"/>
      <c r="K225" s="59"/>
      <c r="L225" s="59"/>
      <c r="M225" s="59"/>
      <c r="N225" s="59"/>
      <c r="O225" s="59"/>
      <c r="P225" s="59"/>
    </row>
    <row r="226" spans="3:16" s="19" customFormat="1" ht="12.75">
      <c r="C226" s="59"/>
      <c r="D226" s="59"/>
      <c r="E226" s="59"/>
      <c r="F226" s="59"/>
      <c r="G226" s="59"/>
      <c r="H226" s="59"/>
      <c r="I226" s="59"/>
      <c r="J226" s="359" t="str">
        <f>"INDIVIDUAL QUARTER ("&amp;Sheet1!$B$4&amp;")"</f>
        <v>INDIVIDUAL QUARTER (Q3)</v>
      </c>
      <c r="K226" s="359"/>
      <c r="L226" s="359"/>
      <c r="M226" s="149"/>
      <c r="N226" s="359" t="str">
        <f>"CUMULATIVE QUARTER ("&amp;Sheet1!$B$6&amp;" Mths)"</f>
        <v>CUMULATIVE QUARTER (9 Mths)</v>
      </c>
      <c r="O226" s="359"/>
      <c r="P226" s="359"/>
    </row>
    <row r="227" spans="3:16" s="19" customFormat="1" ht="42">
      <c r="C227" s="59"/>
      <c r="D227" s="59"/>
      <c r="E227" s="59"/>
      <c r="F227" s="59"/>
      <c r="G227" s="59"/>
      <c r="H227" s="59"/>
      <c r="I227" s="59"/>
      <c r="J227" s="134" t="s">
        <v>8</v>
      </c>
      <c r="K227" s="134"/>
      <c r="L227" s="134" t="s">
        <v>92</v>
      </c>
      <c r="M227" s="83"/>
      <c r="N227" s="134" t="s">
        <v>91</v>
      </c>
      <c r="O227" s="394" t="s">
        <v>10</v>
      </c>
      <c r="P227" s="394"/>
    </row>
    <row r="228" spans="3:16" s="19" customFormat="1" ht="12.75">
      <c r="C228" s="59"/>
      <c r="D228" s="59"/>
      <c r="E228" s="59"/>
      <c r="F228" s="59"/>
      <c r="G228" s="59"/>
      <c r="H228" s="59"/>
      <c r="I228" s="59"/>
      <c r="J228" s="97" t="s">
        <v>7</v>
      </c>
      <c r="K228" s="97"/>
      <c r="L228" s="97" t="s">
        <v>7</v>
      </c>
      <c r="M228" s="128"/>
      <c r="N228" s="97" t="s">
        <v>7</v>
      </c>
      <c r="O228" s="97"/>
      <c r="P228" s="97" t="s">
        <v>7</v>
      </c>
    </row>
    <row r="229" spans="3:16" s="19" customFormat="1" ht="12.75">
      <c r="C229" s="59"/>
      <c r="D229" s="59"/>
      <c r="E229" s="59"/>
      <c r="F229" s="59"/>
      <c r="G229" s="59"/>
      <c r="H229" s="59"/>
      <c r="I229" s="59"/>
      <c r="J229" s="59"/>
      <c r="K229" s="59"/>
      <c r="L229" s="59"/>
      <c r="M229" s="59"/>
      <c r="N229" s="59"/>
      <c r="O229" s="59"/>
      <c r="P229" s="59"/>
    </row>
    <row r="230" spans="3:16" s="19" customFormat="1" ht="12.75">
      <c r="C230" s="59"/>
      <c r="D230" s="59"/>
      <c r="E230" s="59"/>
      <c r="F230" s="59"/>
      <c r="G230" s="59"/>
      <c r="H230" s="59"/>
      <c r="I230" s="59"/>
      <c r="J230" s="59"/>
      <c r="K230" s="59"/>
      <c r="L230" s="59"/>
      <c r="M230" s="59"/>
      <c r="N230" s="59"/>
      <c r="O230" s="59"/>
      <c r="P230" s="59"/>
    </row>
    <row r="231" spans="3:16" s="103" customFormat="1" ht="12.75">
      <c r="C231" s="206" t="s">
        <v>27</v>
      </c>
      <c r="D231" s="205" t="s">
        <v>269</v>
      </c>
      <c r="E231" s="206"/>
      <c r="F231" s="136"/>
      <c r="G231" s="136"/>
      <c r="H231" s="136"/>
      <c r="I231" s="136"/>
      <c r="J231" s="136"/>
      <c r="K231" s="136"/>
      <c r="L231" s="136"/>
      <c r="M231" s="136"/>
      <c r="N231" s="136"/>
      <c r="O231" s="136"/>
      <c r="P231" s="136"/>
    </row>
    <row r="232" spans="3:16" s="103" customFormat="1" ht="12.75">
      <c r="C232" s="136"/>
      <c r="D232" s="136"/>
      <c r="E232" s="136"/>
      <c r="F232" s="136"/>
      <c r="G232" s="136"/>
      <c r="H232" s="136"/>
      <c r="I232" s="136"/>
      <c r="J232" s="136"/>
      <c r="K232" s="136"/>
      <c r="L232" s="136"/>
      <c r="M232" s="136"/>
      <c r="N232" s="136"/>
      <c r="O232" s="136"/>
      <c r="P232" s="136"/>
    </row>
    <row r="233" spans="3:16" s="103" customFormat="1" ht="12.75">
      <c r="C233" s="136"/>
      <c r="D233" s="136" t="s">
        <v>170</v>
      </c>
      <c r="E233" s="136"/>
      <c r="F233" s="136"/>
      <c r="G233" s="136"/>
      <c r="H233" s="136"/>
      <c r="I233" s="136"/>
      <c r="J233" s="216">
        <f>'[4]Frango Extract'!$E$11</f>
        <v>86457</v>
      </c>
      <c r="K233" s="208"/>
      <c r="L233" s="208">
        <v>103753</v>
      </c>
      <c r="M233" s="208"/>
      <c r="N233" s="216">
        <f>'[4]Frango Extract'!$C$11</f>
        <v>358662</v>
      </c>
      <c r="O233" s="208"/>
      <c r="P233" s="208">
        <v>243467</v>
      </c>
    </row>
    <row r="234" spans="3:16" s="103" customFormat="1" ht="27" customHeight="1">
      <c r="C234" s="136"/>
      <c r="D234" s="374" t="s">
        <v>335</v>
      </c>
      <c r="E234" s="374"/>
      <c r="F234" s="374"/>
      <c r="G234" s="374"/>
      <c r="H234" s="374"/>
      <c r="I234" s="136"/>
      <c r="J234" s="216">
        <f>'[4]QTR'!$I$29/1000</f>
        <v>930037.8837777779</v>
      </c>
      <c r="K234" s="208"/>
      <c r="L234" s="208">
        <v>849111</v>
      </c>
      <c r="M234" s="208"/>
      <c r="N234" s="216">
        <f>'[4]YTD'!$I$57/1000</f>
        <v>910234.6362408759</v>
      </c>
      <c r="O234" s="208"/>
      <c r="P234" s="208">
        <v>843844</v>
      </c>
    </row>
    <row r="235" spans="3:16" s="19" customFormat="1" ht="13.5" thickBot="1">
      <c r="C235" s="59"/>
      <c r="D235" s="136" t="s">
        <v>207</v>
      </c>
      <c r="E235" s="59"/>
      <c r="F235" s="59"/>
      <c r="G235" s="59"/>
      <c r="H235" s="59"/>
      <c r="I235" s="59"/>
      <c r="J235" s="219">
        <f>J233/J234*100</f>
        <v>9.296072935095397</v>
      </c>
      <c r="K235" s="210"/>
      <c r="L235" s="209">
        <f>L233/L234*100</f>
        <v>12.219014946220224</v>
      </c>
      <c r="M235" s="59"/>
      <c r="N235" s="219">
        <f>N233/N234*100</f>
        <v>39.40324678054627</v>
      </c>
      <c r="O235" s="210"/>
      <c r="P235" s="209">
        <f>P233/P234*100</f>
        <v>28.85213380672257</v>
      </c>
    </row>
    <row r="236" spans="3:16" s="19" customFormat="1" ht="12.75">
      <c r="C236" s="59"/>
      <c r="D236" s="59"/>
      <c r="E236" s="59"/>
      <c r="F236" s="59"/>
      <c r="G236" s="59"/>
      <c r="H236" s="59"/>
      <c r="I236" s="59"/>
      <c r="J236" s="59"/>
      <c r="K236" s="59"/>
      <c r="L236" s="59"/>
      <c r="M236" s="59"/>
      <c r="N236" s="59"/>
      <c r="O236" s="59"/>
      <c r="P236" s="59"/>
    </row>
    <row r="237" spans="3:16" s="19" customFormat="1" ht="12.75">
      <c r="C237" s="206" t="s">
        <v>27</v>
      </c>
      <c r="D237" s="205" t="s">
        <v>270</v>
      </c>
      <c r="E237" s="206"/>
      <c r="F237" s="136"/>
      <c r="G237" s="136"/>
      <c r="H237" s="136"/>
      <c r="I237" s="136"/>
      <c r="J237" s="136"/>
      <c r="K237" s="136"/>
      <c r="L237" s="136"/>
      <c r="M237" s="136"/>
      <c r="N237" s="136"/>
      <c r="O237" s="136"/>
      <c r="P237" s="136"/>
    </row>
    <row r="238" spans="3:16" s="19" customFormat="1" ht="12.75">
      <c r="C238" s="136"/>
      <c r="D238" s="136"/>
      <c r="E238" s="136"/>
      <c r="F238" s="136"/>
      <c r="G238" s="136"/>
      <c r="H238" s="136"/>
      <c r="I238" s="136"/>
      <c r="J238" s="136"/>
      <c r="K238" s="136"/>
      <c r="L238" s="136"/>
      <c r="M238" s="136"/>
      <c r="N238" s="136"/>
      <c r="O238" s="136"/>
      <c r="P238" s="136"/>
    </row>
    <row r="239" spans="3:16" s="19" customFormat="1" ht="12.75">
      <c r="C239" s="136"/>
      <c r="D239" s="136" t="s">
        <v>170</v>
      </c>
      <c r="E239" s="136"/>
      <c r="F239" s="136"/>
      <c r="G239" s="136"/>
      <c r="H239" s="136"/>
      <c r="I239" s="136"/>
      <c r="J239" s="216">
        <f>J233</f>
        <v>86457</v>
      </c>
      <c r="K239" s="208"/>
      <c r="L239" s="208">
        <f>L233</f>
        <v>103753</v>
      </c>
      <c r="M239" s="208"/>
      <c r="N239" s="216">
        <f>N233</f>
        <v>358662</v>
      </c>
      <c r="O239" s="208"/>
      <c r="P239" s="208">
        <f>P233</f>
        <v>243467</v>
      </c>
    </row>
    <row r="240" spans="3:16" s="19" customFormat="1" ht="12.75">
      <c r="C240" s="136"/>
      <c r="D240" s="136"/>
      <c r="E240" s="136"/>
      <c r="F240" s="136"/>
      <c r="G240" s="136"/>
      <c r="H240" s="136"/>
      <c r="I240" s="136"/>
      <c r="J240" s="216"/>
      <c r="K240" s="208"/>
      <c r="L240" s="208"/>
      <c r="M240" s="208"/>
      <c r="N240" s="216"/>
      <c r="O240" s="208"/>
      <c r="P240" s="208"/>
    </row>
    <row r="241" spans="3:16" s="19" customFormat="1" ht="27" customHeight="1">
      <c r="C241" s="136"/>
      <c r="D241" s="395" t="s">
        <v>336</v>
      </c>
      <c r="E241" s="395"/>
      <c r="F241" s="395"/>
      <c r="G241" s="395"/>
      <c r="H241" s="395"/>
      <c r="I241" s="136"/>
      <c r="J241" s="216"/>
      <c r="K241" s="208"/>
      <c r="L241" s="208"/>
      <c r="M241" s="208"/>
      <c r="N241" s="216"/>
      <c r="O241" s="208"/>
      <c r="P241" s="208"/>
    </row>
    <row r="242" spans="4:16" s="103" customFormat="1" ht="26.25" customHeight="1">
      <c r="D242" s="393" t="s">
        <v>206</v>
      </c>
      <c r="E242" s="393"/>
      <c r="F242" s="393"/>
      <c r="G242" s="393"/>
      <c r="H242" s="393"/>
      <c r="J242" s="217">
        <f>J234</f>
        <v>930037.8837777779</v>
      </c>
      <c r="K242" s="211"/>
      <c r="L242" s="212">
        <f>L234</f>
        <v>849111</v>
      </c>
      <c r="M242" s="106"/>
      <c r="N242" s="217">
        <f>N234</f>
        <v>910234.6362408759</v>
      </c>
      <c r="O242" s="211"/>
      <c r="P242" s="212">
        <f>P234</f>
        <v>843844</v>
      </c>
    </row>
    <row r="243" spans="3:16" s="19" customFormat="1" ht="28.5" customHeight="1">
      <c r="C243" s="136"/>
      <c r="D243" s="393" t="s">
        <v>208</v>
      </c>
      <c r="E243" s="393"/>
      <c r="F243" s="393"/>
      <c r="G243" s="393"/>
      <c r="H243" s="393"/>
      <c r="I243" s="103"/>
      <c r="J243" s="167">
        <f>'[4]QTR'!$I$101/1000</f>
        <v>56667.53818761502</v>
      </c>
      <c r="K243" s="107"/>
      <c r="L243" s="213">
        <v>70596</v>
      </c>
      <c r="M243" s="106"/>
      <c r="N243" s="167">
        <f>'[4]YTD'!$I$184/1000</f>
        <v>67030.42431892533</v>
      </c>
      <c r="O243" s="107"/>
      <c r="P243" s="213">
        <v>26694</v>
      </c>
    </row>
    <row r="244" spans="3:16" s="19" customFormat="1" ht="40.5" customHeight="1">
      <c r="C244" s="136"/>
      <c r="D244" s="393" t="s">
        <v>281</v>
      </c>
      <c r="E244" s="393"/>
      <c r="F244" s="393"/>
      <c r="G244" s="393"/>
      <c r="H244" s="393"/>
      <c r="I244" s="103"/>
      <c r="J244" s="218">
        <f>'[4]QTR'!$I$102/1000</f>
        <v>2932.8622156895567</v>
      </c>
      <c r="K244" s="214"/>
      <c r="L244" s="215">
        <v>10022</v>
      </c>
      <c r="M244" s="106"/>
      <c r="N244" s="218">
        <f>'[4]YTD'!$I$185/1000</f>
        <v>3769.4430909006373</v>
      </c>
      <c r="O244" s="214"/>
      <c r="P244" s="215">
        <v>6313</v>
      </c>
    </row>
    <row r="245" spans="3:16" s="19" customFormat="1" ht="12.75">
      <c r="C245" s="136"/>
      <c r="D245" s="207"/>
      <c r="E245" s="207"/>
      <c r="F245" s="207"/>
      <c r="G245" s="207"/>
      <c r="H245" s="207"/>
      <c r="I245" s="136"/>
      <c r="J245" s="216">
        <f>SUM(J242:J244)</f>
        <v>989638.2841810824</v>
      </c>
      <c r="K245" s="208">
        <f>SUM(K242:K244)</f>
        <v>0</v>
      </c>
      <c r="L245" s="208">
        <f>SUM(L242:L244)</f>
        <v>929729</v>
      </c>
      <c r="M245" s="208"/>
      <c r="N245" s="216">
        <f>SUM(N242:N244)</f>
        <v>981034.503650702</v>
      </c>
      <c r="O245" s="208">
        <f>SUM(O242:O244)</f>
        <v>0</v>
      </c>
      <c r="P245" s="208">
        <f>SUM(P242:P244)</f>
        <v>876851</v>
      </c>
    </row>
    <row r="246" spans="3:16" s="19" customFormat="1" ht="12.75">
      <c r="C246" s="136"/>
      <c r="D246" s="207"/>
      <c r="E246" s="207"/>
      <c r="F246" s="207"/>
      <c r="G246" s="207"/>
      <c r="H246" s="207"/>
      <c r="I246" s="136"/>
      <c r="J246" s="216"/>
      <c r="K246" s="208"/>
      <c r="L246" s="208"/>
      <c r="M246" s="208"/>
      <c r="N246" s="216"/>
      <c r="O246" s="208"/>
      <c r="P246" s="208"/>
    </row>
    <row r="247" spans="3:16" s="19" customFormat="1" ht="13.5" thickBot="1">
      <c r="C247" s="59"/>
      <c r="D247" s="136" t="s">
        <v>271</v>
      </c>
      <c r="E247" s="59"/>
      <c r="F247" s="59"/>
      <c r="G247" s="59"/>
      <c r="H247" s="59"/>
      <c r="I247" s="59"/>
      <c r="J247" s="219">
        <f>J239/J245*100</f>
        <v>8.736222252309334</v>
      </c>
      <c r="K247" s="209"/>
      <c r="L247" s="209">
        <f>L239/L245*100</f>
        <v>11.159488410063577</v>
      </c>
      <c r="M247" s="59"/>
      <c r="N247" s="219">
        <f>N239/N245*100</f>
        <v>36.55957039893287</v>
      </c>
      <c r="O247" s="209" t="e">
        <f>O239/O245*100</f>
        <v>#DIV/0!</v>
      </c>
      <c r="P247" s="209">
        <f>P239/P245*100</f>
        <v>27.766062877273335</v>
      </c>
    </row>
    <row r="248" spans="3:14" s="19" customFormat="1" ht="12.75" customHeight="1">
      <c r="C248" s="59"/>
      <c r="D248" s="59"/>
      <c r="E248" s="59"/>
      <c r="F248" s="59"/>
      <c r="G248" s="59"/>
      <c r="H248" s="59"/>
      <c r="I248" s="59"/>
      <c r="J248" s="59"/>
      <c r="K248" s="59"/>
      <c r="L248" s="59"/>
      <c r="M248" s="59"/>
      <c r="N248" s="59"/>
    </row>
    <row r="249" s="19" customFormat="1" ht="12.75"/>
    <row r="250" s="19" customFormat="1" ht="12.75"/>
    <row r="251" s="19" customFormat="1" ht="24.75" customHeight="1"/>
    <row r="252" spans="1:16" ht="12.75">
      <c r="A252" s="19" t="s">
        <v>50</v>
      </c>
      <c r="B252" s="19"/>
      <c r="C252" s="19"/>
      <c r="D252" s="19"/>
      <c r="E252" s="19"/>
      <c r="F252" s="19"/>
      <c r="G252" s="19"/>
      <c r="H252" s="19"/>
      <c r="M252" s="19"/>
      <c r="O252" s="19"/>
      <c r="P252" s="19"/>
    </row>
    <row r="253" spans="1:16" ht="12.75">
      <c r="A253" s="19"/>
      <c r="B253" s="19"/>
      <c r="C253" s="19"/>
      <c r="D253" s="19"/>
      <c r="E253" s="19"/>
      <c r="F253" s="19"/>
      <c r="G253" s="19"/>
      <c r="H253" s="19"/>
      <c r="M253" s="19"/>
      <c r="O253" s="19"/>
      <c r="P253" s="19"/>
    </row>
    <row r="254" spans="1:16" ht="12.75">
      <c r="A254" s="18" t="s">
        <v>51</v>
      </c>
      <c r="B254" s="18"/>
      <c r="C254" s="19"/>
      <c r="D254" s="19"/>
      <c r="E254" s="19"/>
      <c r="F254" s="19"/>
      <c r="G254" s="19"/>
      <c r="H254" s="19"/>
      <c r="M254" s="19"/>
      <c r="O254" s="19"/>
      <c r="P254" s="19"/>
    </row>
    <row r="255" spans="1:16" ht="12.75">
      <c r="A255" s="18" t="s">
        <v>52</v>
      </c>
      <c r="B255" s="18"/>
      <c r="C255" s="19"/>
      <c r="D255" s="19"/>
      <c r="E255" s="19"/>
      <c r="F255" s="19"/>
      <c r="G255" s="19"/>
      <c r="H255" s="19"/>
      <c r="M255" s="19"/>
      <c r="O255" s="19"/>
      <c r="P255" s="19"/>
    </row>
    <row r="256" spans="1:16" ht="12.75">
      <c r="A256" s="19" t="s">
        <v>53</v>
      </c>
      <c r="B256" s="19"/>
      <c r="C256" s="19"/>
      <c r="D256" s="19"/>
      <c r="E256" s="19"/>
      <c r="F256" s="19"/>
      <c r="G256" s="19"/>
      <c r="H256" s="19"/>
      <c r="M256" s="19"/>
      <c r="O256" s="19"/>
      <c r="P256" s="19"/>
    </row>
    <row r="257" spans="1:16" ht="12.75">
      <c r="A257" s="19"/>
      <c r="B257" s="19"/>
      <c r="C257" s="19"/>
      <c r="D257" s="19"/>
      <c r="E257" s="19"/>
      <c r="F257" s="19"/>
      <c r="G257" s="19"/>
      <c r="H257" s="19"/>
      <c r="M257" s="19"/>
      <c r="O257" s="19"/>
      <c r="P257" s="19"/>
    </row>
    <row r="258" spans="1:16" ht="12.75">
      <c r="A258" s="19" t="s">
        <v>54</v>
      </c>
      <c r="B258" s="19"/>
      <c r="C258" s="19"/>
      <c r="D258" s="19"/>
      <c r="E258" s="19"/>
      <c r="F258" s="19"/>
      <c r="G258" s="19"/>
      <c r="H258" s="19"/>
      <c r="M258" s="19"/>
      <c r="O258" s="19"/>
      <c r="P258" s="19"/>
    </row>
    <row r="259" spans="1:16" ht="12.75">
      <c r="A259" s="353">
        <v>37757</v>
      </c>
      <c r="B259" s="353"/>
      <c r="C259" s="353"/>
      <c r="D259" s="353"/>
      <c r="E259" s="353"/>
      <c r="F259" s="19"/>
      <c r="G259" s="19"/>
      <c r="H259" s="19"/>
      <c r="M259" s="19"/>
      <c r="O259" s="19"/>
      <c r="P259" s="19"/>
    </row>
  </sheetData>
  <mergeCells count="113">
    <mergeCell ref="C196:P196"/>
    <mergeCell ref="C202:P202"/>
    <mergeCell ref="D204:P204"/>
    <mergeCell ref="C189:P189"/>
    <mergeCell ref="C198:P198"/>
    <mergeCell ref="C185:E185"/>
    <mergeCell ref="G185:H185"/>
    <mergeCell ref="J185:L185"/>
    <mergeCell ref="C187:P187"/>
    <mergeCell ref="C184:E184"/>
    <mergeCell ref="G184:H184"/>
    <mergeCell ref="J184:L184"/>
    <mergeCell ref="C183:E183"/>
    <mergeCell ref="F183:H183"/>
    <mergeCell ref="J183:L183"/>
    <mergeCell ref="C67:H67"/>
    <mergeCell ref="C68:H68"/>
    <mergeCell ref="C41:H41"/>
    <mergeCell ref="O89:P89"/>
    <mergeCell ref="J42:K42"/>
    <mergeCell ref="J77:L77"/>
    <mergeCell ref="J44:K44"/>
    <mergeCell ref="J43:K43"/>
    <mergeCell ref="C51:P51"/>
    <mergeCell ref="J45:K45"/>
    <mergeCell ref="J46:K46"/>
    <mergeCell ref="N61:P61"/>
    <mergeCell ref="D244:H244"/>
    <mergeCell ref="J226:L226"/>
    <mergeCell ref="O227:P227"/>
    <mergeCell ref="D234:H234"/>
    <mergeCell ref="D241:H241"/>
    <mergeCell ref="D242:H242"/>
    <mergeCell ref="N226:P226"/>
    <mergeCell ref="D243:H243"/>
    <mergeCell ref="C66:H66"/>
    <mergeCell ref="C47:H47"/>
    <mergeCell ref="C45:H45"/>
    <mergeCell ref="C46:H46"/>
    <mergeCell ref="C37:E37"/>
    <mergeCell ref="G36:H36"/>
    <mergeCell ref="C19:P19"/>
    <mergeCell ref="C38:H38"/>
    <mergeCell ref="G37:H37"/>
    <mergeCell ref="J34:K34"/>
    <mergeCell ref="J37:K37"/>
    <mergeCell ref="G42:H42"/>
    <mergeCell ref="G40:H40"/>
    <mergeCell ref="J38:K38"/>
    <mergeCell ref="J41:K41"/>
    <mergeCell ref="J39:K39"/>
    <mergeCell ref="J40:K40"/>
    <mergeCell ref="A1:P1"/>
    <mergeCell ref="A2:P2"/>
    <mergeCell ref="M31:P31"/>
    <mergeCell ref="C11:P11"/>
    <mergeCell ref="C24:P24"/>
    <mergeCell ref="C26:P26"/>
    <mergeCell ref="J31:K31"/>
    <mergeCell ref="C15:P15"/>
    <mergeCell ref="C17:P17"/>
    <mergeCell ref="C13:P13"/>
    <mergeCell ref="J103:K103"/>
    <mergeCell ref="J32:K32"/>
    <mergeCell ref="C21:P21"/>
    <mergeCell ref="G39:H39"/>
    <mergeCell ref="J36:K36"/>
    <mergeCell ref="G31:H31"/>
    <mergeCell ref="J35:K35"/>
    <mergeCell ref="G34:H34"/>
    <mergeCell ref="G35:H35"/>
    <mergeCell ref="C29:P29"/>
    <mergeCell ref="C124:E124"/>
    <mergeCell ref="G124:P124"/>
    <mergeCell ref="C125:E125"/>
    <mergeCell ref="G125:P125"/>
    <mergeCell ref="J107:K107"/>
    <mergeCell ref="J111:K111"/>
    <mergeCell ref="J112:K112"/>
    <mergeCell ref="C122:P122"/>
    <mergeCell ref="C72:P72"/>
    <mergeCell ref="C52:P52"/>
    <mergeCell ref="C81:H81"/>
    <mergeCell ref="J100:K100"/>
    <mergeCell ref="C69:H69"/>
    <mergeCell ref="J61:L61"/>
    <mergeCell ref="N77:P77"/>
    <mergeCell ref="J88:L88"/>
    <mergeCell ref="C87:P87"/>
    <mergeCell ref="N88:P88"/>
    <mergeCell ref="J104:K104"/>
    <mergeCell ref="J105:K105"/>
    <mergeCell ref="C179:P179"/>
    <mergeCell ref="C181:P181"/>
    <mergeCell ref="C177:P177"/>
    <mergeCell ref="C112:H112"/>
    <mergeCell ref="C104:H104"/>
    <mergeCell ref="J115:K115"/>
    <mergeCell ref="J113:K113"/>
    <mergeCell ref="C175:P175"/>
    <mergeCell ref="A259:E259"/>
    <mergeCell ref="D205:P205"/>
    <mergeCell ref="D206:P206"/>
    <mergeCell ref="C212:P212"/>
    <mergeCell ref="C208:P208"/>
    <mergeCell ref="C217:P217"/>
    <mergeCell ref="C221:P221"/>
    <mergeCell ref="C219:P219"/>
    <mergeCell ref="H130:P130"/>
    <mergeCell ref="C127:E127"/>
    <mergeCell ref="G126:P126"/>
    <mergeCell ref="H127:P127"/>
    <mergeCell ref="H129:P129"/>
  </mergeCells>
  <printOptions/>
  <pageMargins left="0.91" right="0.38" top="1.34" bottom="1.17" header="0.38" footer="1"/>
  <pageSetup horizontalDpi="300" verticalDpi="300" orientation="portrait" paperSize="9" scale="94" r:id="rId1"/>
  <headerFooter alignWithMargins="0">
    <oddFooter>&amp;C&amp;"Times New Roman,Regular"&amp;7- Page &amp;P+10 -</oddFooter>
  </headerFooter>
  <rowBreaks count="8" manualBreakCount="8">
    <brk id="23" max="255" man="1"/>
    <brk id="58" max="255" man="1"/>
    <brk id="83" max="255" man="1"/>
    <brk id="119" max="255" man="1"/>
    <brk id="159" max="255" man="1"/>
    <brk id="191" max="255" man="1"/>
    <brk id="214" max="255" man="1"/>
    <brk id="223" max="255" man="1"/>
  </rowBreaks>
</worksheet>
</file>

<file path=xl/worksheets/sheet9.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3.8515625" style="0" customWidth="1"/>
    <col min="5" max="5" width="9.00390625" style="0" customWidth="1"/>
    <col min="6" max="6" width="13.140625" style="294" customWidth="1"/>
    <col min="7" max="7" width="0.5625" style="58" customWidth="1"/>
    <col min="8" max="8" width="13.140625" style="0" customWidth="1"/>
  </cols>
  <sheetData>
    <row r="1" spans="1:9" ht="18.75">
      <c r="A1" s="361" t="s">
        <v>95</v>
      </c>
      <c r="B1" s="361"/>
      <c r="C1" s="361"/>
      <c r="D1" s="361"/>
      <c r="E1" s="361"/>
      <c r="F1" s="361"/>
      <c r="G1" s="361"/>
      <c r="H1" s="361"/>
      <c r="I1" s="361"/>
    </row>
    <row r="2" spans="1:9" ht="12.75">
      <c r="A2" s="411" t="s">
        <v>5</v>
      </c>
      <c r="B2" s="411"/>
      <c r="C2" s="411"/>
      <c r="D2" s="411"/>
      <c r="E2" s="411"/>
      <c r="F2" s="411"/>
      <c r="G2" s="411"/>
      <c r="H2" s="411"/>
      <c r="I2" s="411"/>
    </row>
    <row r="3" spans="1:8" ht="12.75">
      <c r="A3" s="1"/>
      <c r="B3" s="1"/>
      <c r="C3" s="1"/>
      <c r="D3" s="1"/>
      <c r="E3" s="1"/>
      <c r="F3" s="18"/>
      <c r="G3" s="4"/>
      <c r="H3" s="3"/>
    </row>
    <row r="4" spans="1:8" ht="16.5" customHeight="1">
      <c r="A4" s="9" t="str">
        <f>'IS'!A4</f>
        <v>Interim report for the financial period ended 31 March 2003</v>
      </c>
      <c r="B4" s="11"/>
      <c r="C4" s="11"/>
      <c r="D4" s="11"/>
      <c r="E4" s="11"/>
      <c r="F4" s="282"/>
      <c r="G4" s="55"/>
      <c r="H4" s="11"/>
    </row>
    <row r="5" spans="1:8" ht="12.75">
      <c r="A5" s="10" t="s">
        <v>125</v>
      </c>
      <c r="B5" s="10"/>
      <c r="C5" s="1"/>
      <c r="D5" s="1"/>
      <c r="E5" s="1"/>
      <c r="F5" s="18"/>
      <c r="G5" s="4"/>
      <c r="H5" s="3"/>
    </row>
    <row r="6" spans="1:8" ht="12.75">
      <c r="A6" s="10"/>
      <c r="B6" s="10"/>
      <c r="C6" s="1"/>
      <c r="D6" s="1"/>
      <c r="E6" s="1"/>
      <c r="F6" s="18"/>
      <c r="G6" s="4"/>
      <c r="H6" s="3"/>
    </row>
    <row r="7" spans="1:8" ht="15">
      <c r="A7" s="17" t="s">
        <v>55</v>
      </c>
      <c r="B7" s="16"/>
      <c r="C7" s="16"/>
      <c r="D7" s="16"/>
      <c r="E7" s="16"/>
      <c r="F7" s="283"/>
      <c r="G7" s="56"/>
      <c r="H7" s="17"/>
    </row>
    <row r="8" spans="1:8" ht="15">
      <c r="A8" s="16"/>
      <c r="B8" s="16"/>
      <c r="C8" s="16"/>
      <c r="D8" s="16"/>
      <c r="E8" s="16"/>
      <c r="F8" s="283"/>
      <c r="G8" s="56"/>
      <c r="H8" s="17"/>
    </row>
    <row r="9" spans="1:8" ht="15">
      <c r="A9" s="17" t="s">
        <v>83</v>
      </c>
      <c r="B9" s="16"/>
      <c r="C9" s="16"/>
      <c r="D9" s="16"/>
      <c r="E9" s="16"/>
      <c r="F9" s="283"/>
      <c r="G9" s="56"/>
      <c r="H9" s="17"/>
    </row>
    <row r="10" spans="1:8" s="21" customFormat="1" ht="12.75">
      <c r="A10" s="5"/>
      <c r="B10" s="12"/>
      <c r="C10" s="12"/>
      <c r="D10" s="12"/>
      <c r="E10" s="12"/>
      <c r="F10" s="284" t="s">
        <v>82</v>
      </c>
      <c r="G10" s="52"/>
      <c r="H10" s="64" t="s">
        <v>82</v>
      </c>
    </row>
    <row r="11" spans="1:8" s="21" customFormat="1" ht="12.75">
      <c r="A11" s="5"/>
      <c r="B11" s="12"/>
      <c r="C11" s="12"/>
      <c r="D11" s="12"/>
      <c r="E11" s="12"/>
      <c r="F11" s="285">
        <f>Sheet1!B9</f>
        <v>37711</v>
      </c>
      <c r="G11" s="115"/>
      <c r="H11" s="116">
        <v>37346</v>
      </c>
    </row>
    <row r="12" spans="1:8" s="21" customFormat="1" ht="12.75">
      <c r="A12" s="12" t="s">
        <v>56</v>
      </c>
      <c r="B12" s="12"/>
      <c r="C12" s="12"/>
      <c r="D12" s="12"/>
      <c r="E12" s="12"/>
      <c r="F12" s="167"/>
      <c r="G12" s="53"/>
      <c r="H12" s="65"/>
    </row>
    <row r="13" spans="1:8" s="21" customFormat="1" ht="12.75">
      <c r="A13" s="14" t="s">
        <v>57</v>
      </c>
      <c r="B13" s="12"/>
      <c r="C13" s="12"/>
      <c r="D13" s="22" t="s">
        <v>58</v>
      </c>
      <c r="E13" s="12"/>
      <c r="F13" s="286">
        <v>107126</v>
      </c>
      <c r="G13" s="23"/>
      <c r="H13" s="67">
        <v>85673</v>
      </c>
    </row>
    <row r="14" spans="1:8" s="21" customFormat="1" ht="12.75">
      <c r="A14" s="14" t="s">
        <v>59</v>
      </c>
      <c r="B14" s="12"/>
      <c r="C14" s="12"/>
      <c r="D14" s="22" t="s">
        <v>58</v>
      </c>
      <c r="E14" s="12"/>
      <c r="F14" s="286">
        <v>123968</v>
      </c>
      <c r="G14" s="23"/>
      <c r="H14" s="67">
        <v>97079</v>
      </c>
    </row>
    <row r="15" spans="1:8" s="21" customFormat="1" ht="12.75">
      <c r="A15" s="12"/>
      <c r="B15" s="12"/>
      <c r="C15" s="12"/>
      <c r="D15" s="22"/>
      <c r="E15" s="12"/>
      <c r="F15" s="287"/>
      <c r="G15" s="42"/>
      <c r="H15" s="68"/>
    </row>
    <row r="16" spans="1:8" s="21" customFormat="1" ht="12.75">
      <c r="A16" s="12" t="s">
        <v>60</v>
      </c>
      <c r="B16" s="12"/>
      <c r="C16" s="12"/>
      <c r="D16" s="22"/>
      <c r="E16" s="12"/>
      <c r="F16" s="287"/>
      <c r="G16" s="42"/>
      <c r="H16" s="68"/>
    </row>
    <row r="17" spans="1:8" s="21" customFormat="1" ht="12.75">
      <c r="A17" s="14" t="s">
        <v>57</v>
      </c>
      <c r="B17" s="12"/>
      <c r="C17" s="12"/>
      <c r="D17" s="22" t="s">
        <v>58</v>
      </c>
      <c r="E17" s="12"/>
      <c r="F17" s="286">
        <v>1476</v>
      </c>
      <c r="G17" s="23"/>
      <c r="H17" s="67">
        <v>1811</v>
      </c>
    </row>
    <row r="18" spans="1:8" s="21" customFormat="1" ht="12.75">
      <c r="A18" s="14" t="s">
        <v>59</v>
      </c>
      <c r="B18" s="12"/>
      <c r="C18" s="12"/>
      <c r="D18" s="22" t="s">
        <v>58</v>
      </c>
      <c r="E18" s="12"/>
      <c r="F18" s="288">
        <v>1476</v>
      </c>
      <c r="G18" s="27"/>
      <c r="H18" s="69">
        <v>1811</v>
      </c>
    </row>
    <row r="19" spans="1:8" s="21" customFormat="1" ht="12.75">
      <c r="A19" s="12"/>
      <c r="B19" s="12"/>
      <c r="C19" s="12"/>
      <c r="D19" s="22"/>
      <c r="E19" s="12"/>
      <c r="F19" s="162"/>
      <c r="G19" s="42"/>
      <c r="H19" s="12"/>
    </row>
    <row r="20" spans="1:8" s="21" customFormat="1" ht="12.75">
      <c r="A20" s="12"/>
      <c r="B20" s="12"/>
      <c r="C20" s="12"/>
      <c r="D20" s="22"/>
      <c r="E20" s="12"/>
      <c r="F20" s="162"/>
      <c r="G20" s="42"/>
      <c r="H20" s="12"/>
    </row>
    <row r="21" spans="1:8" s="21" customFormat="1" ht="12.75">
      <c r="A21" s="12"/>
      <c r="B21" s="12"/>
      <c r="C21" s="12"/>
      <c r="D21" s="22"/>
      <c r="E21" s="12"/>
      <c r="F21" s="162"/>
      <c r="G21" s="42"/>
      <c r="H21" s="12"/>
    </row>
    <row r="22" spans="1:8" s="21" customFormat="1" ht="12.75">
      <c r="A22" s="12"/>
      <c r="B22" s="12"/>
      <c r="C22" s="12"/>
      <c r="D22" s="22"/>
      <c r="E22" s="12"/>
      <c r="F22" s="289">
        <f>F11</f>
        <v>37711</v>
      </c>
      <c r="G22" s="117"/>
      <c r="H22" s="118">
        <v>37346</v>
      </c>
    </row>
    <row r="23" spans="1:8" s="21" customFormat="1" ht="12.75">
      <c r="A23" s="12"/>
      <c r="B23" s="12"/>
      <c r="C23" s="12"/>
      <c r="D23" s="22"/>
      <c r="E23" s="12"/>
      <c r="F23" s="290" t="str">
        <f>"("&amp;Sheet1!B6&amp;" months)"</f>
        <v>(9 months)</v>
      </c>
      <c r="G23" s="54"/>
      <c r="H23" s="71" t="s">
        <v>337</v>
      </c>
    </row>
    <row r="24" spans="1:8" s="21" customFormat="1" ht="12.75">
      <c r="A24" s="410" t="s">
        <v>61</v>
      </c>
      <c r="B24" s="410"/>
      <c r="C24" s="410"/>
      <c r="D24" s="22"/>
      <c r="E24" s="12"/>
      <c r="F24" s="287"/>
      <c r="G24" s="42"/>
      <c r="H24" s="68"/>
    </row>
    <row r="25" spans="1:8" s="21" customFormat="1" ht="12.75">
      <c r="A25" s="12" t="s">
        <v>62</v>
      </c>
      <c r="B25" s="12"/>
      <c r="C25" s="12"/>
      <c r="D25" s="22" t="s">
        <v>58</v>
      </c>
      <c r="E25" s="12"/>
      <c r="F25" s="286">
        <v>91630</v>
      </c>
      <c r="G25" s="23"/>
      <c r="H25" s="67">
        <v>83398</v>
      </c>
    </row>
    <row r="26" spans="1:8" s="21" customFormat="1" ht="12.75">
      <c r="A26" s="12" t="s">
        <v>60</v>
      </c>
      <c r="B26" s="12"/>
      <c r="C26" s="12"/>
      <c r="D26" s="22" t="s">
        <v>58</v>
      </c>
      <c r="E26" s="12"/>
      <c r="F26" s="286">
        <v>1667</v>
      </c>
      <c r="G26" s="23"/>
      <c r="H26" s="67">
        <v>1811</v>
      </c>
    </row>
    <row r="27" spans="1:8" s="21" customFormat="1" ht="12.75">
      <c r="A27" s="12"/>
      <c r="B27" s="12"/>
      <c r="C27" s="12"/>
      <c r="D27" s="22"/>
      <c r="E27" s="12"/>
      <c r="F27" s="287"/>
      <c r="G27" s="42"/>
      <c r="H27" s="68"/>
    </row>
    <row r="28" spans="1:8" s="21" customFormat="1" ht="12.75">
      <c r="A28" s="5" t="s">
        <v>63</v>
      </c>
      <c r="B28" s="12"/>
      <c r="C28" s="12"/>
      <c r="D28" s="22"/>
      <c r="E28" s="12"/>
      <c r="F28" s="287"/>
      <c r="G28" s="42"/>
      <c r="H28" s="68"/>
    </row>
    <row r="29" spans="1:8" s="21" customFormat="1" ht="12.75">
      <c r="A29" s="12" t="s">
        <v>62</v>
      </c>
      <c r="B29" s="12"/>
      <c r="C29" s="12"/>
      <c r="D29" s="22"/>
      <c r="E29" s="12"/>
      <c r="F29" s="287"/>
      <c r="G29" s="42"/>
      <c r="H29" s="68"/>
    </row>
    <row r="30" spans="1:8" s="21" customFormat="1" ht="12.75">
      <c r="A30" s="14" t="s">
        <v>64</v>
      </c>
      <c r="B30" s="12"/>
      <c r="C30" s="12"/>
      <c r="D30" s="22" t="s">
        <v>65</v>
      </c>
      <c r="E30" s="12"/>
      <c r="F30" s="286">
        <v>1680574</v>
      </c>
      <c r="G30" s="23"/>
      <c r="H30" s="67">
        <v>1461997</v>
      </c>
    </row>
    <row r="31" spans="1:8" s="21" customFormat="1" ht="12.75">
      <c r="A31" s="14" t="s">
        <v>66</v>
      </c>
      <c r="B31" s="12"/>
      <c r="C31" s="12"/>
      <c r="D31" s="22" t="s">
        <v>65</v>
      </c>
      <c r="E31" s="12"/>
      <c r="F31" s="291">
        <v>18.34</v>
      </c>
      <c r="G31" s="24"/>
      <c r="H31" s="66">
        <f>H30/H25</f>
        <v>17.530360440298328</v>
      </c>
    </row>
    <row r="32" spans="1:8" s="21" customFormat="1" ht="12.75">
      <c r="A32" s="14" t="s">
        <v>67</v>
      </c>
      <c r="B32" s="12"/>
      <c r="C32" s="12"/>
      <c r="D32" s="22" t="s">
        <v>65</v>
      </c>
      <c r="E32" s="12"/>
      <c r="F32" s="286">
        <v>1935069</v>
      </c>
      <c r="G32" s="23"/>
      <c r="H32" s="67">
        <v>1720308</v>
      </c>
    </row>
    <row r="33" spans="1:8" s="21" customFormat="1" ht="12.75">
      <c r="A33" s="14" t="s">
        <v>325</v>
      </c>
      <c r="B33" s="12"/>
      <c r="C33" s="12"/>
      <c r="D33" s="22" t="s">
        <v>65</v>
      </c>
      <c r="E33" s="12"/>
      <c r="F33" s="286">
        <v>423676</v>
      </c>
      <c r="G33" s="23"/>
      <c r="H33" s="67">
        <v>362882</v>
      </c>
    </row>
    <row r="34" spans="1:8" s="21" customFormat="1" ht="12.75">
      <c r="A34" s="14" t="s">
        <v>68</v>
      </c>
      <c r="B34" s="12"/>
      <c r="C34" s="12"/>
      <c r="D34" s="22" t="s">
        <v>65</v>
      </c>
      <c r="E34" s="12"/>
      <c r="F34" s="286">
        <v>103184</v>
      </c>
      <c r="G34" s="23"/>
      <c r="H34" s="67">
        <v>91996</v>
      </c>
    </row>
    <row r="35" spans="1:8" s="21" customFormat="1" ht="12.75">
      <c r="A35" s="14" t="s">
        <v>69</v>
      </c>
      <c r="B35" s="12"/>
      <c r="C35" s="12"/>
      <c r="D35" s="22" t="s">
        <v>70</v>
      </c>
      <c r="E35" s="12"/>
      <c r="F35" s="292">
        <f>F33/F32</f>
        <v>0.2189461977841617</v>
      </c>
      <c r="G35" s="25"/>
      <c r="H35" s="63">
        <f>H33/H32</f>
        <v>0.21094013397600894</v>
      </c>
    </row>
    <row r="36" spans="1:8" s="21" customFormat="1" ht="12.75">
      <c r="A36" s="14" t="s">
        <v>71</v>
      </c>
      <c r="B36" s="12"/>
      <c r="C36" s="12"/>
      <c r="D36" s="22" t="s">
        <v>70</v>
      </c>
      <c r="E36" s="12"/>
      <c r="F36" s="292">
        <f>F34/F32</f>
        <v>0.05332316315335525</v>
      </c>
      <c r="G36" s="25"/>
      <c r="H36" s="63">
        <f>H34/H32</f>
        <v>0.053476470492493204</v>
      </c>
    </row>
    <row r="37" spans="1:8" s="21" customFormat="1" ht="12.75">
      <c r="A37" s="12"/>
      <c r="B37" s="12"/>
      <c r="C37" s="12"/>
      <c r="D37" s="22"/>
      <c r="E37" s="12"/>
      <c r="F37" s="287"/>
      <c r="G37" s="42"/>
      <c r="H37" s="68"/>
    </row>
    <row r="38" spans="1:8" s="21" customFormat="1" ht="12.75">
      <c r="A38" s="12" t="s">
        <v>60</v>
      </c>
      <c r="B38" s="12"/>
      <c r="C38" s="12"/>
      <c r="D38" s="22"/>
      <c r="E38" s="12"/>
      <c r="F38" s="287"/>
      <c r="G38" s="42"/>
      <c r="H38" s="68"/>
    </row>
    <row r="39" spans="1:8" s="21" customFormat="1" ht="12.75">
      <c r="A39" s="14" t="s">
        <v>72</v>
      </c>
      <c r="B39" s="12"/>
      <c r="C39" s="12"/>
      <c r="D39" s="22" t="s">
        <v>73</v>
      </c>
      <c r="E39" s="12"/>
      <c r="F39" s="286">
        <v>3072</v>
      </c>
      <c r="G39" s="23"/>
      <c r="H39" s="67">
        <v>2759</v>
      </c>
    </row>
    <row r="40" spans="1:8" s="21" customFormat="1" ht="12.75">
      <c r="A40" s="14" t="s">
        <v>66</v>
      </c>
      <c r="B40" s="12"/>
      <c r="C40" s="12"/>
      <c r="D40" s="22" t="s">
        <v>74</v>
      </c>
      <c r="E40" s="12"/>
      <c r="F40" s="286">
        <v>1842</v>
      </c>
      <c r="G40" s="23"/>
      <c r="H40" s="67">
        <v>1523</v>
      </c>
    </row>
    <row r="41" spans="1:8" s="21" customFormat="1" ht="12.75">
      <c r="A41" s="14" t="s">
        <v>75</v>
      </c>
      <c r="B41" s="12"/>
      <c r="C41" s="12"/>
      <c r="D41" s="22" t="s">
        <v>73</v>
      </c>
      <c r="E41" s="12"/>
      <c r="F41" s="286">
        <v>2252</v>
      </c>
      <c r="G41" s="23"/>
      <c r="H41" s="67">
        <v>2371</v>
      </c>
    </row>
    <row r="42" spans="1:8" s="21" customFormat="1" ht="12.75">
      <c r="A42" s="12"/>
      <c r="B42" s="12"/>
      <c r="C42" s="12"/>
      <c r="D42" s="26"/>
      <c r="E42" s="12"/>
      <c r="F42" s="287"/>
      <c r="G42" s="42"/>
      <c r="H42" s="68"/>
    </row>
    <row r="43" spans="1:8" s="21" customFormat="1" ht="12.75">
      <c r="A43" s="5" t="s">
        <v>76</v>
      </c>
      <c r="B43" s="12"/>
      <c r="C43" s="12"/>
      <c r="D43" s="26"/>
      <c r="E43" s="12"/>
      <c r="F43" s="287"/>
      <c r="G43" s="42"/>
      <c r="H43" s="68"/>
    </row>
    <row r="44" spans="1:8" s="21" customFormat="1" ht="12.75">
      <c r="A44" s="12" t="s">
        <v>56</v>
      </c>
      <c r="B44" s="12"/>
      <c r="C44" s="12"/>
      <c r="D44" s="26"/>
      <c r="E44" s="12"/>
      <c r="F44" s="287"/>
      <c r="G44" s="42"/>
      <c r="H44" s="68"/>
    </row>
    <row r="45" spans="1:8" s="21" customFormat="1" ht="12.75">
      <c r="A45" s="14" t="s">
        <v>77</v>
      </c>
      <c r="B45" s="12"/>
      <c r="C45" s="12"/>
      <c r="D45" s="26" t="s">
        <v>78</v>
      </c>
      <c r="E45" s="12"/>
      <c r="F45" s="286">
        <v>1458</v>
      </c>
      <c r="G45" s="23"/>
      <c r="H45" s="67">
        <v>1028</v>
      </c>
    </row>
    <row r="46" spans="1:8" s="21" customFormat="1" ht="12.75">
      <c r="A46" s="14" t="s">
        <v>79</v>
      </c>
      <c r="B46" s="12"/>
      <c r="C46" s="12"/>
      <c r="D46" s="26" t="s">
        <v>78</v>
      </c>
      <c r="E46" s="12"/>
      <c r="F46" s="286">
        <v>711</v>
      </c>
      <c r="G46" s="23"/>
      <c r="H46" s="67">
        <v>485</v>
      </c>
    </row>
    <row r="47" spans="1:8" s="21" customFormat="1" ht="12.75">
      <c r="A47" s="12"/>
      <c r="B47" s="12"/>
      <c r="C47" s="12"/>
      <c r="D47" s="26"/>
      <c r="E47" s="12"/>
      <c r="F47" s="287"/>
      <c r="G47" s="42"/>
      <c r="H47" s="68"/>
    </row>
    <row r="48" spans="1:8" s="21" customFormat="1" ht="12.75">
      <c r="A48" s="12" t="s">
        <v>60</v>
      </c>
      <c r="B48" s="12"/>
      <c r="C48" s="12"/>
      <c r="D48" s="26"/>
      <c r="E48" s="12"/>
      <c r="F48" s="287"/>
      <c r="G48" s="42"/>
      <c r="H48" s="68"/>
    </row>
    <row r="49" spans="1:8" s="21" customFormat="1" ht="12.75">
      <c r="A49" s="14" t="s">
        <v>80</v>
      </c>
      <c r="B49" s="12"/>
      <c r="C49" s="12"/>
      <c r="D49" s="26" t="s">
        <v>81</v>
      </c>
      <c r="E49" s="12"/>
      <c r="F49" s="288">
        <v>403</v>
      </c>
      <c r="G49" s="27"/>
      <c r="H49" s="69">
        <v>318</v>
      </c>
    </row>
    <row r="50" spans="6:8" s="21" customFormat="1" ht="12.75">
      <c r="F50" s="293"/>
      <c r="G50" s="57"/>
      <c r="H50" s="79"/>
    </row>
    <row r="51" spans="6:8" s="21" customFormat="1" ht="12.75">
      <c r="F51" s="293"/>
      <c r="G51" s="57"/>
      <c r="H51" s="79"/>
    </row>
    <row r="52" spans="6:8" s="21" customFormat="1" ht="12.75">
      <c r="F52" s="293"/>
      <c r="G52" s="57"/>
      <c r="H52" s="79"/>
    </row>
    <row r="53" spans="6:8" s="21" customFormat="1" ht="12.75">
      <c r="F53" s="293"/>
      <c r="G53" s="57"/>
      <c r="H53" s="79"/>
    </row>
    <row r="54" spans="6:8" s="21" customFormat="1" ht="12.75">
      <c r="F54" s="293"/>
      <c r="G54" s="57"/>
      <c r="H54" s="79"/>
    </row>
    <row r="55" spans="6:8" s="21" customFormat="1" ht="12.75">
      <c r="F55" s="293"/>
      <c r="G55" s="57"/>
      <c r="H55" s="79"/>
    </row>
    <row r="56" spans="6:8" s="21" customFormat="1" ht="12.75">
      <c r="F56" s="293"/>
      <c r="G56" s="57"/>
      <c r="H56" s="79"/>
    </row>
    <row r="57" spans="6:8" s="21" customFormat="1" ht="12.75">
      <c r="F57" s="293"/>
      <c r="G57" s="57"/>
      <c r="H57" s="79"/>
    </row>
    <row r="58" spans="6:8" s="21" customFormat="1" ht="12.75">
      <c r="F58" s="293"/>
      <c r="G58" s="57"/>
      <c r="H58" s="79"/>
    </row>
    <row r="59" spans="6:8" s="21" customFormat="1" ht="12.75">
      <c r="F59" s="293"/>
      <c r="G59" s="57"/>
      <c r="H59" s="79"/>
    </row>
    <row r="60" spans="6:8" s="21" customFormat="1" ht="12.75">
      <c r="F60" s="293"/>
      <c r="G60" s="57"/>
      <c r="H60" s="79"/>
    </row>
    <row r="61" spans="6:8" s="21" customFormat="1" ht="12.75">
      <c r="F61" s="293"/>
      <c r="G61" s="57"/>
      <c r="H61" s="79"/>
    </row>
    <row r="62" spans="6:8" s="21" customFormat="1" ht="12.75">
      <c r="F62" s="293"/>
      <c r="G62" s="57"/>
      <c r="H62" s="79"/>
    </row>
  </sheetData>
  <mergeCells count="3">
    <mergeCell ref="A24:C24"/>
    <mergeCell ref="A1:I1"/>
    <mergeCell ref="A2:I2"/>
  </mergeCells>
  <printOptions/>
  <pageMargins left="0.91" right="0.48" top="1.24" bottom="1.17" header="0.38" footer="1.1"/>
  <pageSetup horizontalDpi="300" verticalDpi="300" orientation="portrait" paperSize="9" scale="98" r:id="rId1"/>
  <headerFooter alignWithMargins="0">
    <oddFooter>&amp;C&amp;"Times New Roman,Regular"&amp;7- Page &amp;P+19 -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2003-05-16T04:21:46Z</cp:lastPrinted>
  <dcterms:created xsi:type="dcterms:W3CDTF">1999-02-13T02:20:00Z</dcterms:created>
  <dcterms:modified xsi:type="dcterms:W3CDTF">2003-05-16T04:23:52Z</dcterms:modified>
  <cp:category/>
  <cp:version/>
  <cp:contentType/>
  <cp:contentStatus/>
</cp:coreProperties>
</file>